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gotzon_osinalde_irastorza_intel_com/Documents/Personal/Katalina eta Juan/00106300/CD_DOCUMENTOS, CAJ. 164,N.23/"/>
    </mc:Choice>
  </mc:AlternateContent>
  <xr:revisionPtr revIDLastSave="1892" documentId="8_{8A8BFDCF-55D5-4FB3-A819-2E02D466FAF2}" xr6:coauthVersionLast="47" xr6:coauthVersionMax="47" xr10:uidLastSave="{E7A07F14-F929-4742-B474-04215D512C97}"/>
  <bookViews>
    <workbookView xWindow="-110" yWindow="-110" windowWidth="19420" windowHeight="11500" xr2:uid="{2BF512F0-F411-4B61-9901-CA58D17165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4" i="1" l="1"/>
  <c r="AU83" i="1"/>
  <c r="AU82" i="1"/>
  <c r="AU69" i="1" l="1"/>
  <c r="AU68" i="1"/>
  <c r="AU67" i="1"/>
  <c r="AP76" i="1"/>
  <c r="AP77" i="1"/>
  <c r="AP75" i="1"/>
  <c r="AU61" i="1"/>
  <c r="AU60" i="1"/>
  <c r="AU59" i="1"/>
  <c r="AU55" i="1"/>
  <c r="AU54" i="1"/>
  <c r="AU53" i="1"/>
  <c r="AR31" i="1" l="1"/>
  <c r="AQ31" i="1"/>
  <c r="AP31" i="1"/>
  <c r="AO31" i="1"/>
  <c r="AN29" i="1"/>
  <c r="AM29" i="1"/>
  <c r="AR21" i="1"/>
  <c r="AR15" i="1"/>
  <c r="AQ21" i="1"/>
  <c r="AQ15" i="1"/>
  <c r="AP21" i="1"/>
  <c r="AP15" i="1"/>
  <c r="AO21" i="1"/>
  <c r="AO15" i="1"/>
  <c r="AM22" i="1"/>
  <c r="AM21" i="1"/>
  <c r="AM20" i="1"/>
  <c r="AN21" i="1"/>
  <c r="AN15" i="1"/>
  <c r="AM16" i="1"/>
  <c r="AM15" i="1"/>
  <c r="AM14" i="1"/>
  <c r="AS15" i="1" l="1"/>
  <c r="AS21" i="1"/>
  <c r="AF57" i="1"/>
  <c r="AR29" i="1" s="1"/>
  <c r="AG55" i="1"/>
  <c r="AH55" i="1"/>
  <c r="AI55" i="1"/>
  <c r="AG54" i="1"/>
  <c r="AH54" i="1"/>
  <c r="AI54" i="1"/>
  <c r="AG53" i="1"/>
  <c r="AH53" i="1"/>
  <c r="AI53" i="1"/>
  <c r="AG52" i="1"/>
  <c r="AI52" i="1"/>
  <c r="AH52" i="1"/>
  <c r="AI51" i="1"/>
  <c r="AH51" i="1"/>
  <c r="AG51" i="1"/>
  <c r="AG50" i="1"/>
  <c r="AH50" i="1"/>
  <c r="AI50" i="1"/>
  <c r="AH49" i="1"/>
  <c r="AI49" i="1"/>
  <c r="AG49" i="1"/>
  <c r="AG48" i="1"/>
  <c r="AH48" i="1"/>
  <c r="AI48" i="1"/>
  <c r="AH47" i="1"/>
  <c r="AI47" i="1"/>
  <c r="AG47" i="1"/>
  <c r="AG46" i="1"/>
  <c r="AH46" i="1"/>
  <c r="AI46" i="1"/>
  <c r="AG45" i="1"/>
  <c r="AH45" i="1"/>
  <c r="AI45" i="1"/>
  <c r="AG44" i="1"/>
  <c r="AH44" i="1"/>
  <c r="AI44" i="1"/>
  <c r="AG43" i="1" l="1"/>
  <c r="AH43" i="1"/>
  <c r="AI43" i="1"/>
  <c r="AG42" i="1"/>
  <c r="AH42" i="1"/>
  <c r="AI42" i="1"/>
  <c r="AG41" i="1" l="1"/>
  <c r="AH41" i="1"/>
  <c r="AI41" i="1"/>
  <c r="AI40" i="1"/>
  <c r="AH40" i="1"/>
  <c r="AG40" i="1"/>
  <c r="AG39" i="1"/>
  <c r="AH39" i="1"/>
  <c r="AI39" i="1"/>
  <c r="AG38" i="1"/>
  <c r="AH38" i="1"/>
  <c r="AI38" i="1"/>
  <c r="AG37" i="1"/>
  <c r="AH37" i="1"/>
  <c r="AI37" i="1"/>
  <c r="AG36" i="1"/>
  <c r="AH36" i="1"/>
  <c r="AI36" i="1"/>
  <c r="AG34" i="1"/>
  <c r="AG35" i="1"/>
  <c r="AH35" i="1"/>
  <c r="AI35" i="1"/>
  <c r="AI34" i="1"/>
  <c r="AH34" i="1"/>
  <c r="AG33" i="1"/>
  <c r="AH33" i="1"/>
  <c r="AI33" i="1"/>
  <c r="AC33" i="1"/>
  <c r="AI23" i="1"/>
  <c r="AH23" i="1"/>
  <c r="AG23" i="1"/>
  <c r="AG22" i="1"/>
  <c r="AR20" i="1" s="1"/>
  <c r="AI22" i="1"/>
  <c r="AH22" i="1"/>
  <c r="AG20" i="1"/>
  <c r="AH20" i="1"/>
  <c r="AI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Z57" i="1"/>
  <c r="AQ29" i="1" s="1"/>
  <c r="AA49" i="1"/>
  <c r="AB49" i="1"/>
  <c r="AC49" i="1"/>
  <c r="AA48" i="1"/>
  <c r="AB48" i="1"/>
  <c r="AC48" i="1"/>
  <c r="AA47" i="1"/>
  <c r="AB47" i="1"/>
  <c r="AC47" i="1"/>
  <c r="AA46" i="1"/>
  <c r="AB46" i="1"/>
  <c r="AB45" i="1"/>
  <c r="AC46" i="1"/>
  <c r="AA45" i="1"/>
  <c r="AC45" i="1"/>
  <c r="AA44" i="1"/>
  <c r="AB44" i="1"/>
  <c r="AC44" i="1"/>
  <c r="AA43" i="1"/>
  <c r="AB43" i="1"/>
  <c r="AC43" i="1"/>
  <c r="AA42" i="1"/>
  <c r="AB42" i="1"/>
  <c r="AC42" i="1"/>
  <c r="AA41" i="1"/>
  <c r="AB41" i="1"/>
  <c r="AC41" i="1"/>
  <c r="AR16" i="1" l="1"/>
  <c r="AR22" i="1"/>
  <c r="AR14" i="1"/>
  <c r="AG29" i="1"/>
  <c r="AI57" i="1"/>
  <c r="AH57" i="1"/>
  <c r="AR30" i="1" s="1"/>
  <c r="AG57" i="1"/>
  <c r="AR28" i="1" s="1"/>
  <c r="AH29" i="1"/>
  <c r="AA40" i="1"/>
  <c r="AB40" i="1"/>
  <c r="AC40" i="1"/>
  <c r="AA39" i="1"/>
  <c r="AB39" i="1"/>
  <c r="AC39" i="1"/>
  <c r="AA38" i="1"/>
  <c r="AB38" i="1"/>
  <c r="AC38" i="1"/>
  <c r="AA37" i="1"/>
  <c r="AB37" i="1"/>
  <c r="AC37" i="1"/>
  <c r="AC36" i="1"/>
  <c r="AB36" i="1"/>
  <c r="AA36" i="1"/>
  <c r="AA35" i="1"/>
  <c r="U36" i="1"/>
  <c r="AC35" i="1"/>
  <c r="AB35" i="1"/>
  <c r="AB34" i="1"/>
  <c r="AC34" i="1"/>
  <c r="AA34" i="1"/>
  <c r="AA33" i="1"/>
  <c r="AB33" i="1"/>
  <c r="W33" i="1"/>
  <c r="AB23" i="1"/>
  <c r="AC23" i="1"/>
  <c r="AA23" i="1"/>
  <c r="AB22" i="1"/>
  <c r="AC22" i="1"/>
  <c r="AA22" i="1"/>
  <c r="AQ20" i="1" s="1"/>
  <c r="AA20" i="1"/>
  <c r="AB20" i="1"/>
  <c r="AC20" i="1"/>
  <c r="AB19" i="1"/>
  <c r="AC19" i="1"/>
  <c r="AA19" i="1"/>
  <c r="AC18" i="1"/>
  <c r="AB18" i="1"/>
  <c r="AA18" i="1"/>
  <c r="AB17" i="1"/>
  <c r="AC17" i="1"/>
  <c r="AA17" i="1"/>
  <c r="AC16" i="1"/>
  <c r="AB16" i="1"/>
  <c r="AA16" i="1"/>
  <c r="T57" i="1"/>
  <c r="AP29" i="1" s="1"/>
  <c r="V48" i="1"/>
  <c r="W48" i="1"/>
  <c r="U48" i="1"/>
  <c r="U47" i="1"/>
  <c r="AQ22" i="1" l="1"/>
  <c r="AQ14" i="1"/>
  <c r="AQ16" i="1"/>
  <c r="AA29" i="1"/>
  <c r="Z29" i="1"/>
  <c r="AB57" i="1"/>
  <c r="AQ30" i="1" s="1"/>
  <c r="AA57" i="1"/>
  <c r="AQ28" i="1" s="1"/>
  <c r="AC57" i="1"/>
  <c r="V47" i="1"/>
  <c r="W47" i="1"/>
  <c r="U46" i="1"/>
  <c r="V46" i="1"/>
  <c r="W46" i="1"/>
  <c r="U45" i="1"/>
  <c r="V45" i="1"/>
  <c r="W45" i="1"/>
  <c r="W44" i="1"/>
  <c r="V44" i="1"/>
  <c r="U44" i="1"/>
  <c r="W43" i="1"/>
  <c r="V43" i="1"/>
  <c r="U43" i="1"/>
  <c r="U42" i="1"/>
  <c r="V42" i="1"/>
  <c r="W42" i="1"/>
  <c r="U41" i="1"/>
  <c r="W41" i="1"/>
  <c r="V41" i="1"/>
  <c r="U40" i="1"/>
  <c r="V40" i="1"/>
  <c r="W40" i="1"/>
  <c r="U39" i="1"/>
  <c r="W39" i="1"/>
  <c r="V39" i="1"/>
  <c r="U38" i="1"/>
  <c r="W38" i="1"/>
  <c r="V38" i="1"/>
  <c r="V37" i="1"/>
  <c r="U37" i="1"/>
  <c r="W37" i="1"/>
  <c r="U35" i="1"/>
  <c r="W36" i="1"/>
  <c r="V36" i="1"/>
  <c r="W35" i="1"/>
  <c r="V35" i="1"/>
  <c r="W34" i="1"/>
  <c r="V34" i="1"/>
  <c r="U34" i="1"/>
  <c r="V33" i="1"/>
  <c r="U33" i="1"/>
  <c r="U57" i="1" l="1"/>
  <c r="AP28" i="1" s="1"/>
  <c r="V57" i="1"/>
  <c r="AP30" i="1" s="1"/>
  <c r="W57" i="1"/>
  <c r="V24" i="1"/>
  <c r="W24" i="1"/>
  <c r="U24" i="1"/>
  <c r="W23" i="1"/>
  <c r="V23" i="1"/>
  <c r="U23" i="1"/>
  <c r="W22" i="1"/>
  <c r="V22" i="1"/>
  <c r="U22" i="1"/>
  <c r="U19" i="1"/>
  <c r="W19" i="1"/>
  <c r="V19" i="1"/>
  <c r="W18" i="1"/>
  <c r="V18" i="1"/>
  <c r="U18" i="1"/>
  <c r="V17" i="1"/>
  <c r="W17" i="1"/>
  <c r="U17" i="1"/>
  <c r="W16" i="1"/>
  <c r="V16" i="1"/>
  <c r="U16" i="1"/>
  <c r="N57" i="1"/>
  <c r="AO29" i="1" s="1"/>
  <c r="AS29" i="1" s="1"/>
  <c r="P46" i="1"/>
  <c r="P47" i="1"/>
  <c r="O47" i="1"/>
  <c r="O46" i="1"/>
  <c r="P45" i="1"/>
  <c r="O43" i="1"/>
  <c r="O42" i="1"/>
  <c r="O38" i="1"/>
  <c r="O39" i="1"/>
  <c r="O37" i="1"/>
  <c r="O34" i="1"/>
  <c r="Q22" i="1"/>
  <c r="P22" i="1"/>
  <c r="AO22" i="1" s="1"/>
  <c r="O22" i="1"/>
  <c r="P20" i="1"/>
  <c r="O20" i="1"/>
  <c r="O19" i="1"/>
  <c r="Q19" i="1"/>
  <c r="Q20" i="1"/>
  <c r="AP22" i="1" l="1"/>
  <c r="V29" i="1"/>
  <c r="AP20" i="1"/>
  <c r="AP14" i="1"/>
  <c r="P29" i="1"/>
  <c r="AO20" i="1"/>
  <c r="AP16" i="1"/>
  <c r="U29" i="1"/>
  <c r="Q18" i="1"/>
  <c r="P18" i="1"/>
  <c r="O18" i="1"/>
  <c r="Q17" i="1"/>
  <c r="P17" i="1"/>
  <c r="O17" i="1"/>
  <c r="Q16" i="1"/>
  <c r="H57" i="1"/>
  <c r="C57" i="1"/>
  <c r="I53" i="1"/>
  <c r="K53" i="1"/>
  <c r="I52" i="1"/>
  <c r="K52" i="1"/>
  <c r="I51" i="1"/>
  <c r="K51" i="1"/>
  <c r="I50" i="1"/>
  <c r="K50" i="1"/>
  <c r="I49" i="1"/>
  <c r="I48" i="1"/>
  <c r="K49" i="1"/>
  <c r="K48" i="1"/>
  <c r="K47" i="1"/>
  <c r="I47" i="1"/>
  <c r="K46" i="1"/>
  <c r="I46" i="1"/>
  <c r="I45" i="1"/>
  <c r="K45" i="1"/>
  <c r="I43" i="1"/>
  <c r="I44" i="1"/>
  <c r="K44" i="1"/>
  <c r="K43" i="1"/>
  <c r="I40" i="1"/>
  <c r="I39" i="1"/>
  <c r="I38" i="1"/>
  <c r="I36" i="1"/>
  <c r="I35" i="1"/>
  <c r="J33" i="1"/>
  <c r="AN30" i="1" s="1"/>
  <c r="D35" i="1" l="1"/>
  <c r="E35" i="1"/>
  <c r="E34" i="1"/>
  <c r="D34" i="1"/>
  <c r="E33" i="1"/>
  <c r="AM30" i="1" s="1"/>
  <c r="D33" i="1"/>
  <c r="AM28" i="1" s="1"/>
  <c r="J22" i="1"/>
  <c r="AN22" i="1" s="1"/>
  <c r="AS22" i="1" s="1"/>
  <c r="I22" i="1"/>
  <c r="J20" i="1"/>
  <c r="I20" i="1"/>
  <c r="J19" i="1"/>
  <c r="I19" i="1"/>
  <c r="K18" i="1"/>
  <c r="J18" i="1"/>
  <c r="J17" i="1"/>
  <c r="I17" i="1"/>
  <c r="J16" i="1"/>
  <c r="K16" i="1"/>
  <c r="I16" i="1"/>
  <c r="O45" i="1"/>
  <c r="P44" i="1"/>
  <c r="O44" i="1"/>
  <c r="P43" i="1"/>
  <c r="P42" i="1"/>
  <c r="O41" i="1"/>
  <c r="P41" i="1"/>
  <c r="P40" i="1"/>
  <c r="O40" i="1"/>
  <c r="P39" i="1"/>
  <c r="P38" i="1"/>
  <c r="P37" i="1"/>
  <c r="P36" i="1"/>
  <c r="O36" i="1"/>
  <c r="P35" i="1"/>
  <c r="O35" i="1"/>
  <c r="P34" i="1"/>
  <c r="P33" i="1"/>
  <c r="O33" i="1"/>
  <c r="I42" i="1"/>
  <c r="K42" i="1"/>
  <c r="K41" i="1"/>
  <c r="I41" i="1"/>
  <c r="K40" i="1"/>
  <c r="K39" i="1"/>
  <c r="K38" i="1"/>
  <c r="I37" i="1"/>
  <c r="K37" i="1"/>
  <c r="K36" i="1"/>
  <c r="K35" i="1"/>
  <c r="K34" i="1"/>
  <c r="I34" i="1"/>
  <c r="K33" i="1"/>
  <c r="I33" i="1"/>
  <c r="H29" i="1" l="1"/>
  <c r="AN20" i="1"/>
  <c r="AS20" i="1" s="1"/>
  <c r="AN28" i="1"/>
  <c r="AN14" i="1"/>
  <c r="AN16" i="1"/>
  <c r="E57" i="1"/>
  <c r="D57" i="1"/>
  <c r="O57" i="1"/>
  <c r="AO28" i="1" s="1"/>
  <c r="AS28" i="1" s="1"/>
  <c r="I57" i="1"/>
  <c r="P57" i="1"/>
  <c r="AO30" i="1" s="1"/>
  <c r="AS30" i="1" s="1"/>
  <c r="K57" i="1"/>
  <c r="K22" i="1"/>
  <c r="P19" i="1"/>
  <c r="P16" i="1"/>
  <c r="O16" i="1"/>
  <c r="K20" i="1"/>
  <c r="K19" i="1"/>
  <c r="I18" i="1"/>
  <c r="G29" i="1" s="1"/>
  <c r="AO16" i="1" l="1"/>
  <c r="AS16" i="1" s="1"/>
  <c r="O29" i="1"/>
  <c r="AO14" i="1"/>
  <c r="AS14" i="1" s="1"/>
  <c r="K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Osinalde irastorza, Gotzon</author>
  </authors>
  <commentList>
    <comment ref="J16" authorId="0" shapeId="0" xr:uid="{CE712FB8-1905-49D8-A43F-99AF929F8113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9.75 grano</t>
        </r>
      </text>
    </comment>
    <comment ref="P16" authorId="0" shapeId="0" xr:uid="{594E1878-639F-496D-98D0-46ADAA2539FF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</t>
        </r>
      </text>
    </comment>
    <comment ref="V16" authorId="0" shapeId="0" xr:uid="{71EDFD6E-F8FA-4333-9246-78CC18FB765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10.5 grano
</t>
        </r>
      </text>
    </comment>
    <comment ref="AA16" authorId="0" shapeId="0" xr:uid="{1990A4E5-A682-45D4-BC82-1E1A84C53BB4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8 kuaderna eta bi ale eta erdi ontza batean</t>
        </r>
      </text>
    </comment>
    <comment ref="AB16" authorId="0" shapeId="0" xr:uid="{3A0A6C25-4471-4FD2-845E-E01B4C4A7FC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 eta erdi</t>
        </r>
      </text>
    </comment>
    <comment ref="J17" authorId="0" shapeId="0" xr:uid="{D064AC77-CCF3-4317-B977-EB59E093C84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10.25 grano</t>
        </r>
      </text>
    </comment>
    <comment ref="L17" authorId="0" shapeId="0" xr:uid="{A8DED450-A446-42DB-9A08-C895CA6A47AC}">
      <text>
        <r>
          <rPr>
            <b/>
            <sz val="9"/>
            <color indexed="81"/>
            <rFont val="Tahoma"/>
            <family val="2"/>
          </rPr>
          <t>Osinalde irastorza, Gotzon:
62L 12S 06D azken Lauen Senyoriajea - 2.orria</t>
        </r>
      </text>
    </comment>
    <comment ref="P17" authorId="0" shapeId="0" xr:uid="{FCB2E581-F8B2-44C4-9546-6B5B7614BDD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10.5 grano</t>
        </r>
      </text>
    </comment>
    <comment ref="X17" authorId="0" shapeId="0" xr:uid="{1520FF71-FF8E-44ED-9232-04A1D8521CB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47L 13S 01D</t>
        </r>
      </text>
    </comment>
    <comment ref="AA17" authorId="0" shapeId="0" xr:uid="{E6A8396C-47B6-40CD-B496-93A1720BAF44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8kuaderna eta erdi ontza batean</t>
        </r>
      </text>
    </comment>
    <comment ref="J18" authorId="0" shapeId="0" xr:uid="{98C9575F-6111-4195-BDBF-4B3B311CC0DB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9.75 grano</t>
        </r>
      </text>
    </comment>
    <comment ref="P18" authorId="0" shapeId="0" xr:uid="{81F00A19-F4E9-448F-9FAF-DC4A8BD4F62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</t>
        </r>
      </text>
    </comment>
    <comment ref="Q18" authorId="0" shapeId="0" xr:uid="{BEF1D136-8B4E-46DE-A44C-AC1C6CC591DC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</t>
        </r>
      </text>
    </comment>
    <comment ref="R18" authorId="0" shapeId="0" xr:uid="{B499BEFF-B56D-472B-A132-C5F54C8CA53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53L 08S 07D niri libera bat gutxiago irtetzen zait</t>
        </r>
      </text>
    </comment>
    <comment ref="T18" authorId="0" shapeId="0" xr:uid="{9C662AFF-D033-4D13-9B81-2D2C350A10A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Bere seme Belenguer d'aoiz lehenengoz azaltzen da</t>
        </r>
      </text>
    </comment>
    <comment ref="J19" authorId="0" shapeId="0" xr:uid="{D2C88877-D5E8-41C3-9C54-271D69C46DF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</t>
        </r>
      </text>
    </comment>
    <comment ref="P19" authorId="0" shapeId="0" xr:uid="{718614EC-CFA9-4AA7-A807-F2FEAC8179B0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</t>
        </r>
      </text>
    </comment>
    <comment ref="R19" authorId="0" shapeId="0" xr:uid="{3C110084-5B90-473D-912D-FE09C06CBA64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Niri 03L 09S 09D irtetzen zaizkit</t>
        </r>
      </text>
    </comment>
    <comment ref="V19" authorId="0" shapeId="0" xr:uid="{B3CF6A96-CA16-4402-9300-3884F6FAD5A3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11 grano</t>
        </r>
      </text>
    </comment>
    <comment ref="X19" authorId="0" shapeId="0" xr:uid="{9C556DBE-033D-476A-8558-77E6EF029061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73L 19S 10D</t>
        </r>
      </text>
    </comment>
    <comment ref="AD19" authorId="0" shapeId="0" xr:uid="{D14CF2FA-C97E-467E-8F1D-F0B050E61C6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119L 12S 02D diru bateko errorea edo biribilketa dago</t>
        </r>
      </text>
    </comment>
    <comment ref="AJ19" authorId="0" shapeId="0" xr:uid="{858BBFD0-B318-4E6B-8CAA-1FAAB40406D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103L 08S 09D</t>
        </r>
      </text>
    </comment>
    <comment ref="J20" authorId="0" shapeId="0" xr:uid="{FCE9323D-E007-4E9E-BA8D-55D8221CF10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11 grano
</t>
        </r>
      </text>
    </comment>
    <comment ref="L20" authorId="0" shapeId="0" xr:uid="{7A4558FA-BD36-4BC9-89AD-7EEAB0504F05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Osinalde irastorza, Gotzon:
62L 12S 06D azken Lauen Senyoriajea - 2.orria</t>
        </r>
      </text>
    </comment>
    <comment ref="R20" authorId="0" shapeId="0" xr:uid="{CA51B5AA-3175-4CF0-81F1-FA2B2CED74F1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14L 14S 02D</t>
        </r>
      </text>
    </comment>
    <comment ref="AB20" authorId="0" shapeId="0" xr:uid="{7ACE98D5-8C82-4B55-9C3A-70BAC562603F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10 grano eta erdi</t>
        </r>
      </text>
    </comment>
    <comment ref="J22" authorId="0" shapeId="0" xr:uid="{A1745834-0BF5-41FA-B705-A839B1A150F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5.5 Grano</t>
        </r>
      </text>
    </comment>
    <comment ref="P22" authorId="0" shapeId="0" xr:uid="{49A0ED74-A30C-49A8-B41C-7D2DF0EC539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5 Grano</t>
        </r>
      </text>
    </comment>
    <comment ref="Q22" authorId="0" shapeId="0" xr:uid="{85792233-CCD3-488A-A5FB-0BCB777B489F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5 Grano</t>
        </r>
      </text>
    </comment>
    <comment ref="AD23" authorId="0" shapeId="0" xr:uid="{52A24E7C-86BA-4138-B6C3-943C5667C15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02L 15S 02D</t>
        </r>
      </text>
    </comment>
    <comment ref="AJ23" authorId="0" shapeId="0" xr:uid="{4E08B8CB-FEA4-4FEF-9E6D-FCDDDA43CB21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05L 05S 01D</t>
        </r>
      </text>
    </comment>
    <comment ref="T24" authorId="0" shapeId="0" xr:uid="{D643A00E-51FC-4E16-981C-DAEB470C1C7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Belenguer de Aoiz de diruak ematen dituena</t>
        </r>
      </text>
    </comment>
    <comment ref="V24" authorId="0" shapeId="0" xr:uid="{6054870D-25E2-4A5B-A15C-19A61A28149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5 grano eta erdi</t>
        </r>
      </text>
    </comment>
    <comment ref="X24" authorId="0" shapeId="0" xr:uid="{D8E38595-2C99-4D91-B014-D4C3F78FA12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04L 04S 05D</t>
        </r>
      </text>
    </comment>
    <comment ref="J33" authorId="0" shapeId="0" xr:uid="{37AFEDC8-7F9A-4124-B5AD-4A09721334E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22 kilate eta laurden bat</t>
        </r>
      </text>
    </comment>
    <comment ref="R33" authorId="0" shapeId="0" xr:uid="{751175D6-C5FC-4328-9C1A-E69BAC0B7F2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17. orria 87 L 04S 2D kornado erdiekin batera</t>
        </r>
      </text>
    </comment>
    <comment ref="V33" authorId="0" shapeId="0" xr:uid="{A9CD6800-48DC-45DD-9C5E-FAFD0B8E7695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22 Kilate eta Laurden bat</t>
        </r>
      </text>
    </comment>
    <comment ref="AA33" authorId="0" shapeId="0" xr:uid="{C42F6A8C-8CA1-4A70-B278-5B88742F1EF0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kuarto erdi bat</t>
        </r>
      </text>
    </comment>
    <comment ref="AE33" authorId="0" shapeId="0" xr:uid="{4A63B8C3-CB22-4332-A659-6575F470B59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Muestrak eta lanketak eguberri bezperan utzi ziren eta hurrengo urtean entsaiatu</t>
        </r>
      </text>
    </comment>
    <comment ref="O34" authorId="0" shapeId="0" xr:uid="{8CFD1C33-4714-42F4-BBA6-2E1A3A5C940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ale eta quarto erdi bat</t>
        </r>
      </text>
    </comment>
    <comment ref="U34" authorId="0" shapeId="0" xr:uid="{D4123E1C-D411-4286-9AD7-A785B26CE9A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erdi bat</t>
        </r>
      </text>
    </comment>
    <comment ref="F35" authorId="0" shapeId="0" xr:uid="{98D95B90-4C2C-45CA-916F-21657B22B15E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188L 10S 06D 1488 urte guztian urrezkoengatik</t>
        </r>
      </text>
    </comment>
    <comment ref="I35" authorId="0" shapeId="0" xr:uid="{44FC4273-D393-4B0C-8032-78D244CA6D0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erdi bat</t>
        </r>
      </text>
    </comment>
    <comment ref="L35" authorId="0" shapeId="0" xr:uid="{CD092A50-6871-4FFF-B429-737C00CECBAF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240L 19S 08D</t>
        </r>
      </text>
    </comment>
    <comment ref="AA35" authorId="0" shapeId="0" xr:uid="{610B4DFF-987A-4C61-B122-6ACE7BC6B58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12 grano</t>
        </r>
      </text>
    </comment>
    <comment ref="I36" authorId="0" shapeId="0" xr:uid="{2D53D3A3-23AD-4F07-B89C-5FA8F073351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72 - pieza laurden erdi bat </t>
        </r>
      </text>
    </comment>
    <comment ref="U36" authorId="0" shapeId="0" xr:uid="{70ED10B9-8828-4459-9E6F-31501EA68EB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de 12 grano lanketa marko batean</t>
        </r>
      </text>
    </comment>
    <comment ref="X36" authorId="0" shapeId="0" xr:uid="{B50A32A2-F6C9-4854-AFB4-647B402B380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159L 09S 11D</t>
        </r>
      </text>
    </comment>
    <comment ref="AD36" authorId="0" shapeId="0" xr:uid="{A5AF76D5-F7D1-4459-88DE-9453F12A744D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179L 14S 02D</t>
        </r>
      </text>
    </comment>
    <comment ref="AJ36" authorId="0" shapeId="0" xr:uid="{67E31BF1-ACEC-48FC-99EC-813A8B5EB7CC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124L 04S 05D</t>
        </r>
      </text>
    </comment>
    <comment ref="O37" authorId="0" shapeId="0" xr:uid="{95F3E729-84DE-4072-9953-A62942AC54E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ale eta laurden erdi bat</t>
        </r>
      </text>
    </comment>
    <comment ref="R37" authorId="0" shapeId="0" xr:uid="{55C20752-3FC6-40A2-8389-6089B59F7FCE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278L 18S 03D</t>
        </r>
      </text>
    </comment>
    <comment ref="AA37" authorId="0" shapeId="0" xr:uid="{13DB92D8-2B0D-4DFA-8A8F-6D840A59E06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kuarto erdi bat</t>
        </r>
      </text>
    </comment>
    <comment ref="I38" authorId="0" shapeId="0" xr:uid="{460977B7-9719-4416-91C2-1FA23BD12B3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erdi bat</t>
        </r>
      </text>
    </comment>
    <comment ref="O38" authorId="0" shapeId="0" xr:uid="{4ACB1218-EEE3-45F2-9834-68A0C3B0A9A0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ale eta laurden erdi bat</t>
        </r>
      </text>
    </comment>
    <comment ref="X38" authorId="0" shapeId="0" xr:uid="{1AFDE0CD-8BDA-45DA-9466-4C3EE3D7764E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44L 14S 05D izan beharko luke</t>
        </r>
      </text>
    </comment>
    <comment ref="I39" authorId="0" shapeId="0" xr:uid="{935623F7-E786-4D42-B8C4-7910F734164B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bat</t>
        </r>
      </text>
    </comment>
    <comment ref="L39" authorId="0" shapeId="0" xr:uid="{4CC975B7-44E3-4164-A217-5F055AD8A08D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201L 17S 11D</t>
        </r>
      </text>
    </comment>
    <comment ref="R39" authorId="0" shapeId="0" xr:uid="{570C1250-7755-44B0-A4DB-8DFAD18A9B0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Niri 53L 10S 0D ateratzen zait</t>
        </r>
      </text>
    </comment>
    <comment ref="U39" authorId="0" shapeId="0" xr:uid="{2553881A-B400-4976-BEA6-763223C9B7DB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Delibero en toda la obra 1 pieza e media menos por ser fuertes</t>
        </r>
      </text>
    </comment>
    <comment ref="I40" authorId="0" shapeId="0" xr:uid="{3279C446-587F-4ACB-A579-736D5AB62293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erdi bat</t>
        </r>
      </text>
    </comment>
    <comment ref="X40" authorId="0" shapeId="0" xr:uid="{A26BAC33-AFFD-49FE-B9AE-B44357BD1AFE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195L 01S 11D</t>
        </r>
      </text>
    </comment>
    <comment ref="AD40" authorId="0" shapeId="0" xr:uid="{E7F588A2-BAEB-4B71-9D49-DE01EA83D2FB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286L 17S 03D</t>
        </r>
      </text>
    </comment>
    <comment ref="AJ40" authorId="0" shapeId="0" xr:uid="{E7176A24-EE95-4690-96DF-E1AA584C37F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349L 16S 00D</t>
        </r>
      </text>
    </comment>
    <comment ref="R41" authorId="0" shapeId="0" xr:uid="{02132F82-907D-43B4-8983-491AFDE4C870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237L 13S 05D 0.5OBL niri diru bat gutxiago irtetzen zait</t>
        </r>
      </text>
    </comment>
    <comment ref="S41" authorId="0" shapeId="0" xr:uid="{177F874D-0DC3-47B7-A1D0-F016848DEF5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Belenguer de Aoyz</t>
        </r>
      </text>
    </comment>
    <comment ref="U41" authorId="0" shapeId="0" xr:uid="{EE83DA02-2BD5-406E-9FBB-8638BD271954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Ale bat gehiago I
landu omen zen</t>
        </r>
      </text>
    </comment>
    <comment ref="O42" authorId="0" shapeId="0" xr:uid="{CCD83A89-C1E0-4424-AB28-6DAC9D53CFC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et hubo falta al peso 2 piezas el dcho numero por ser fuertes</t>
        </r>
      </text>
    </comment>
    <comment ref="I43" authorId="0" shapeId="0" xr:uid="{D4BCA084-E069-4B96-9E0A-9208C916925D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71 pieza eta hiru laurden eta erdi</t>
        </r>
      </text>
    </comment>
    <comment ref="K43" authorId="0" shapeId="0" xr:uid="{01125958-49E1-486E-A6B2-6DEA21892F4D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22 Karate eta laurden bat</t>
        </r>
      </text>
    </comment>
    <comment ref="L43" authorId="0" shapeId="0" xr:uid="{2D7D0042-6F7F-42FA-972B-4827CD7D7AB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307L 09S 06D
Azken sarrera honel 1 sueldo eta 2 dirutako gehiketa du</t>
        </r>
      </text>
    </comment>
    <comment ref="I44" authorId="0" shapeId="0" xr:uid="{ED989E63-7DF0-42E5-9FA9-BEDAF0C367B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bat</t>
        </r>
      </text>
    </comment>
    <comment ref="X44" authorId="0" shapeId="0" xr:uid="{91FB1AB5-B9AC-42CF-967B-52ECBFEB3EF9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144L 00S 03D</t>
        </r>
      </text>
    </comment>
    <comment ref="AD44" authorId="0" shapeId="0" xr:uid="{E2BD4183-432C-444D-9ED4-5F2203C45E4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200L 04S 01D niri Sueldo bat gutxiago irtetzen zait; azken sarrera hau 50L 17S eta 11D izango litzateke orduan</t>
        </r>
      </text>
    </comment>
    <comment ref="AJ44" authorId="0" shapeId="0" xr:uid="{424EC8EB-0E58-4B56-A8C7-1B9A69955CF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357L 08S 04D</t>
        </r>
      </text>
    </comment>
    <comment ref="P45" authorId="0" shapeId="0" xr:uid="{0458902C-C265-47F4-B069-4C09441277D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22 kilate eta laurden bat</t>
        </r>
      </text>
    </comment>
    <comment ref="R45" authorId="0" shapeId="0" xr:uid="{B2087317-61AB-42D5-9F2A-8FCD091BED9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221L 18S 11D</t>
        </r>
      </text>
    </comment>
    <comment ref="U45" authorId="0" shapeId="0" xr:uid="{D1F3459D-3816-4B98-83FB-F7210DE1EDAD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Et hubo de mas 1 pieza en toda la obra</t>
        </r>
      </text>
    </comment>
    <comment ref="AJ45" authorId="0" shapeId="0" xr:uid="{02597B46-145A-48AE-8E53-8D2127D5370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Miguel de Espinal-en etxean entsaiatuak
</t>
        </r>
      </text>
    </comment>
    <comment ref="I46" authorId="0" shapeId="0" xr:uid="{68ED5410-7008-400B-9B0D-B4DAE3454CD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laurden bat</t>
        </r>
      </text>
    </comment>
    <comment ref="O46" authorId="0" shapeId="0" xr:uid="{485CF5A1-BAC9-46A4-88A1-3CA7635272BE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bat</t>
        </r>
      </text>
    </comment>
    <comment ref="V46" authorId="0" shapeId="0" xr:uid="{6980DC51-79FD-4C91-8414-1DBC4F32F88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22 kilate eta laurden bat</t>
        </r>
      </text>
    </comment>
    <comment ref="AJ46" authorId="0" shapeId="0" xr:uid="{EDAC4443-DFD7-4344-A2B4-EB9A691289D5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Estaba enojado, Miguel de Espinal-en etxean entsegatuak </t>
        </r>
      </text>
    </comment>
    <comment ref="L47" authorId="0" shapeId="0" xr:uid="{2209F24B-79AB-4FFB-B13A-9BD1C8886AA0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155L 13S 10D</t>
        </r>
      </text>
    </comment>
    <comment ref="O47" authorId="0" shapeId="0" xr:uid="{1B610CD5-FEEE-4387-94B6-B6EBD6755B92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erdi bat</t>
        </r>
      </text>
    </comment>
    <comment ref="R47" authorId="0" shapeId="0" xr:uid="{55FAC178-343F-470D-A883-E86597D5E794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133L 03S 04D</t>
        </r>
      </text>
    </comment>
    <comment ref="AJ47" authorId="0" shapeId="0" xr:uid="{C6FC0349-12FB-4F94-B604-6E8FB76BFE2F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Estaba Ocupado, Miguel de Espinal Semeak entsegatua</t>
        </r>
      </text>
    </comment>
    <comment ref="I48" authorId="0" shapeId="0" xr:uid="{690A1829-E828-4015-8692-C574D0EC0667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erdi bat</t>
        </r>
      </text>
    </comment>
    <comment ref="X48" authorId="0" shapeId="0" xr:uid="{EFBA302B-D69C-4D79-B4DF-0A00AE350EEB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155L 13S 09D</t>
        </r>
      </text>
    </comment>
    <comment ref="AD48" authorId="0" shapeId="0" xr:uid="{4865B9FC-610F-4650-A565-0376746C8E36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168L 15S 04D</t>
        </r>
      </text>
    </comment>
    <comment ref="AJ48" authorId="0" shapeId="0" xr:uid="{BBC388C5-3FE4-4959-B027-49B81633205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211L 16S 08D
Miguel de Espinal el jobe</t>
        </r>
      </text>
    </comment>
    <comment ref="I49" authorId="0" shapeId="0" xr:uid="{A8949860-45C1-4C8A-A2E5-C3DFF9784855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bat marko bakoitzeko</t>
        </r>
      </text>
    </comment>
    <comment ref="AA49" authorId="0" shapeId="0" xr:uid="{606C3875-0778-4383-BB92-538248EDC573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8 grano marko batean</t>
        </r>
      </text>
    </comment>
    <comment ref="L50" authorId="0" shapeId="0" xr:uid="{197BCC4C-FA51-4F48-927E-8A3FED7C3DCC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123L 01S 02D</t>
        </r>
      </text>
    </comment>
    <comment ref="AJ52" authorId="0" shapeId="0" xr:uid="{739E47F7-D529-42E9-A2AE-E262C5BA541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272L 09S 01D</t>
        </r>
      </text>
    </comment>
    <comment ref="I53" authorId="0" shapeId="0" xr:uid="{3887EC02-7EEB-49E4-9316-346636B79E88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72 pieza eta laurden bat</t>
        </r>
      </text>
    </comment>
    <comment ref="L53" authorId="0" shapeId="0" xr:uid="{54D0356E-8756-439A-805A-D8C717C6912A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159L 01S 06D</t>
        </r>
      </text>
    </comment>
    <comment ref="AJ55" authorId="0" shapeId="0" xr:uid="{66EE0005-DCBC-4E24-B1FC-A386501CF970}">
      <text>
        <r>
          <rPr>
            <b/>
            <sz val="9"/>
            <color indexed="81"/>
            <rFont val="Tahoma"/>
            <family val="2"/>
          </rPr>
          <t>Osinalde irastorza, Gotzon:</t>
        </r>
        <r>
          <rPr>
            <sz val="9"/>
            <color indexed="81"/>
            <rFont val="Tahoma"/>
            <family val="2"/>
          </rPr>
          <t xml:space="preserve">
256L 11S 01D</t>
        </r>
      </text>
    </comment>
  </commentList>
</comments>
</file>

<file path=xl/sharedStrings.xml><?xml version="1.0" encoding="utf-8"?>
<sst xmlns="http://schemas.openxmlformats.org/spreadsheetml/2006/main" count="495" uniqueCount="356">
  <si>
    <t>Lanketa Markoak</t>
  </si>
  <si>
    <t>Senyoriaje Diru Emaria</t>
  </si>
  <si>
    <t>Osora</t>
  </si>
  <si>
    <t>Kornado Kopurua</t>
  </si>
  <si>
    <t>Kornado erdi Kopurua</t>
  </si>
  <si>
    <t>Balioa (gros)</t>
  </si>
  <si>
    <t>Izena</t>
  </si>
  <si>
    <t>Balioa</t>
  </si>
  <si>
    <t>2 Diru Beltz</t>
  </si>
  <si>
    <t>Diru bat</t>
  </si>
  <si>
    <t>16 Kornado - 32 diru</t>
  </si>
  <si>
    <t>8 Kornado -  16 diru</t>
  </si>
  <si>
    <t>46 / 47 / 48 Gros</t>
  </si>
  <si>
    <t>Lege Nominala</t>
  </si>
  <si>
    <t xml:space="preserve">4 diru 3 grano - 343 Milesima </t>
  </si>
  <si>
    <t>23 kilate - 958 Milesima</t>
  </si>
  <si>
    <t>15 Grano - 50 Milesima</t>
  </si>
  <si>
    <t>8 Grano - 27 Milesima</t>
  </si>
  <si>
    <t>Txanpon kopurua / Lanketa Marko Batean</t>
  </si>
  <si>
    <t>2,78</t>
  </si>
  <si>
    <t>Pisu Nominala (gr)</t>
  </si>
  <si>
    <t>1,39</t>
  </si>
  <si>
    <t>0,95</t>
  </si>
  <si>
    <t>0,69</t>
  </si>
  <si>
    <t>3,4gr</t>
  </si>
  <si>
    <t>Legearen Erremedioa</t>
  </si>
  <si>
    <t>Grano bat</t>
  </si>
  <si>
    <t>3 Grano</t>
  </si>
  <si>
    <t>Pisuaren Erremedioa</t>
  </si>
  <si>
    <t>Pieza bat Marko batean</t>
  </si>
  <si>
    <t>Erremediorik ez</t>
  </si>
  <si>
    <t>Bi Pieza Marko batean</t>
  </si>
  <si>
    <t>Orotara</t>
  </si>
  <si>
    <t>Grosak</t>
  </si>
  <si>
    <t>Kornadoak</t>
  </si>
  <si>
    <t>Kornado Erdiak</t>
  </si>
  <si>
    <t>Urrezko Txanponak</t>
  </si>
  <si>
    <t>1488 (Lanketa Markoak)</t>
  </si>
  <si>
    <t>Data</t>
  </si>
  <si>
    <t>5L y 6 Sueldo/ale Senyoriaje - 53 gros</t>
  </si>
  <si>
    <t>Lanketa Zilar Markoak</t>
  </si>
  <si>
    <t>Lanketa Urre Markoak</t>
  </si>
  <si>
    <t>807L 1S 10D</t>
  </si>
  <si>
    <t>Urrezkoak 1482-1486</t>
  </si>
  <si>
    <t>53 Gros</t>
  </si>
  <si>
    <t>22.5 Kilate - 937.5 Milesima</t>
  </si>
  <si>
    <t>Grosa 1481-1484</t>
  </si>
  <si>
    <t>Gros Erdia 1481-1484</t>
  </si>
  <si>
    <t>Kornadoa 1482-1485</t>
  </si>
  <si>
    <t>Diru Beltzak - Kornado erdiak 1483-1485</t>
  </si>
  <si>
    <t>11 Grano - 38 Milesima</t>
  </si>
  <si>
    <t>4  pieza Lanketa Ontza batean (32 Pieza Markoan)</t>
  </si>
  <si>
    <t>2 pieza Lanketa Ontza batean (16 Pieza Markoan)</t>
  </si>
  <si>
    <t>6 Grano - 20.8 Milesima</t>
  </si>
  <si>
    <t>Nabarro Kopurua</t>
  </si>
  <si>
    <t>13L 1S 1D</t>
  </si>
  <si>
    <t>1489(Aleak)</t>
  </si>
  <si>
    <t>1489(Senyoriaje Zillar Markoak)</t>
  </si>
  <si>
    <t>1489(Senyoriaje liberak)</t>
  </si>
  <si>
    <t>1489(Benetako Zillar Markoak)</t>
  </si>
  <si>
    <t>1488(Aleak)</t>
  </si>
  <si>
    <t>1488(Benetako Zillar Markoak)</t>
  </si>
  <si>
    <t>1488(Senyoriaje liberak)</t>
  </si>
  <si>
    <t>1490 (Lanketa Markoak)</t>
  </si>
  <si>
    <t>1490 (Aleak)</t>
  </si>
  <si>
    <t>1490(Benetako Zillar Markoak)</t>
  </si>
  <si>
    <t>1490(Senyoriaje Zillar Markoak)</t>
  </si>
  <si>
    <t>1490 (senyoriajea Liberak)</t>
  </si>
  <si>
    <t>1491 (Lanketa Markoak)</t>
  </si>
  <si>
    <t>1491(Aleak)</t>
  </si>
  <si>
    <t>1491(Benetako Zillar Markoak)</t>
  </si>
  <si>
    <t>1491(Senyoriaje liberak)</t>
  </si>
  <si>
    <t>1492 (Lanketa Markoak)</t>
  </si>
  <si>
    <t>1492 (Aleak)</t>
  </si>
  <si>
    <t>1492(Benetako Zillar Markoak)</t>
  </si>
  <si>
    <t>1492(Senyoriaje Zillar Markoak)</t>
  </si>
  <si>
    <t>1492 (senyoriajea Liberak)</t>
  </si>
  <si>
    <t>1493 (Lanketa Markoak)</t>
  </si>
  <si>
    <t>1493 (Aleak)</t>
  </si>
  <si>
    <t>1493(Benetako Zillar Markoak)</t>
  </si>
  <si>
    <t>1493(Senyoriaje Zillar Markoak)</t>
  </si>
  <si>
    <t>1493 (senyoriajea Liberak)</t>
  </si>
  <si>
    <t>04MAR1489</t>
  </si>
  <si>
    <t>25L 14S 0D</t>
  </si>
  <si>
    <t>23MAR1489</t>
  </si>
  <si>
    <t>16L 2S 6D</t>
  </si>
  <si>
    <t>13APR1489</t>
  </si>
  <si>
    <t>06OTS1489</t>
  </si>
  <si>
    <t>23ABE1489</t>
  </si>
  <si>
    <t>17L 18S 09D</t>
  </si>
  <si>
    <t>02L 17S 03D</t>
  </si>
  <si>
    <t>1L 5S 3D</t>
  </si>
  <si>
    <t>22AZA1488</t>
  </si>
  <si>
    <t>07ABE1488</t>
  </si>
  <si>
    <t>22ABE1488</t>
  </si>
  <si>
    <t>32L 09S 03D</t>
  </si>
  <si>
    <t>76L 07S 01D</t>
  </si>
  <si>
    <t>79L 14S 02D</t>
  </si>
  <si>
    <t>14URT1489</t>
  </si>
  <si>
    <t>63L 02S 01D</t>
  </si>
  <si>
    <t>04OTS1489</t>
  </si>
  <si>
    <t>58L 19S 3D</t>
  </si>
  <si>
    <t>13OTS1489</t>
  </si>
  <si>
    <t>118L 18S 4D</t>
  </si>
  <si>
    <t>07MAR1489</t>
  </si>
  <si>
    <t>43L 17S 10D</t>
  </si>
  <si>
    <t>1489(Lanketa Markoak)</t>
  </si>
  <si>
    <t>20MAR1489</t>
  </si>
  <si>
    <t>60L 05S 09D</t>
  </si>
  <si>
    <t>01API1489</t>
  </si>
  <si>
    <t>44L 07S 09D</t>
  </si>
  <si>
    <t>11API1489</t>
  </si>
  <si>
    <t>53L 06S 07D</t>
  </si>
  <si>
    <t>04MAI1489</t>
  </si>
  <si>
    <t>100L 0S 9D</t>
  </si>
  <si>
    <t>20MAI1489</t>
  </si>
  <si>
    <t>61L 5S 8D</t>
  </si>
  <si>
    <t>05EKA1489</t>
  </si>
  <si>
    <t>33L 17S 03D</t>
  </si>
  <si>
    <t>15UZT1489</t>
  </si>
  <si>
    <t>112L 06S 10D</t>
  </si>
  <si>
    <t>31UZT1489</t>
  </si>
  <si>
    <t>14ABU1489</t>
  </si>
  <si>
    <t>31L 02S 09D</t>
  </si>
  <si>
    <t>28ABU1489</t>
  </si>
  <si>
    <t>30L 16S 02D</t>
  </si>
  <si>
    <t>18IRA1489</t>
  </si>
  <si>
    <t>60L 15S 10D</t>
  </si>
  <si>
    <t>32L 19S 01D</t>
  </si>
  <si>
    <t>23IRA1489</t>
  </si>
  <si>
    <t>17L 14S 05D</t>
  </si>
  <si>
    <t>13URR1489</t>
  </si>
  <si>
    <t>49L 00S 06D</t>
  </si>
  <si>
    <t>29URR1489</t>
  </si>
  <si>
    <t>56L 06S 03D</t>
  </si>
  <si>
    <t>17AZA1489</t>
  </si>
  <si>
    <t>53L 00S 00D</t>
  </si>
  <si>
    <t>05ABE1489</t>
  </si>
  <si>
    <t>24ABE1489</t>
  </si>
  <si>
    <t>53L 01S 06D</t>
  </si>
  <si>
    <t>188L 10S 06D</t>
  </si>
  <si>
    <t>1188L 03S 07D</t>
  </si>
  <si>
    <t xml:space="preserve">Guztira </t>
  </si>
  <si>
    <t>Kornado erdiak</t>
  </si>
  <si>
    <t>26OTS1490</t>
  </si>
  <si>
    <t>23L 02S 03D</t>
  </si>
  <si>
    <t>26MAR1490</t>
  </si>
  <si>
    <t>11L 13S 10D</t>
  </si>
  <si>
    <t>17L 12S 06D</t>
  </si>
  <si>
    <t>06API1490</t>
  </si>
  <si>
    <t>03UZT1490</t>
  </si>
  <si>
    <t>22ABE1490</t>
  </si>
  <si>
    <t>11L 03S 05D</t>
  </si>
  <si>
    <t>03L 10S 09D</t>
  </si>
  <si>
    <t>1L 3S 4D</t>
  </si>
  <si>
    <t>23URT1490</t>
  </si>
  <si>
    <t>86L 0S 10D</t>
  </si>
  <si>
    <t>23OTS1490</t>
  </si>
  <si>
    <t>90L 02S 00D</t>
  </si>
  <si>
    <t>03MAR1490</t>
  </si>
  <si>
    <t>46L 14S 02D</t>
  </si>
  <si>
    <t>16MAR1490</t>
  </si>
  <si>
    <t>83L 16S 01D</t>
  </si>
  <si>
    <t>58L 06S 00D</t>
  </si>
  <si>
    <t>29API1490</t>
  </si>
  <si>
    <t>89L 02S 01D</t>
  </si>
  <si>
    <t>15MAI1490</t>
  </si>
  <si>
    <t>28MAI1490</t>
  </si>
  <si>
    <t>60L 12S 04D</t>
  </si>
  <si>
    <t>19EKA1490</t>
  </si>
  <si>
    <t>34L 09S 00D</t>
  </si>
  <si>
    <t>53L 09S 11D 0,50OBL</t>
  </si>
  <si>
    <t>15UZT1490</t>
  </si>
  <si>
    <t>68L 01S 06D</t>
  </si>
  <si>
    <t>07ABU1490</t>
  </si>
  <si>
    <t>34L 15S 08D</t>
  </si>
  <si>
    <t>16IRA1490</t>
  </si>
  <si>
    <t>73L 10S 09D</t>
  </si>
  <si>
    <t>12URR1490</t>
  </si>
  <si>
    <t>22AZA1490</t>
  </si>
  <si>
    <t>45L 11S 00D</t>
  </si>
  <si>
    <t>53L 06S 08D</t>
  </si>
  <si>
    <t>79L 16S 08D</t>
  </si>
  <si>
    <t>957L 14S 09D 0.5OBL</t>
  </si>
  <si>
    <t>22OTS1491</t>
  </si>
  <si>
    <t>1491(Senyoriaje Zillar Markoak)</t>
  </si>
  <si>
    <t>11L 19S 07D</t>
  </si>
  <si>
    <t>06API1491</t>
  </si>
  <si>
    <t>35L 13S 06D</t>
  </si>
  <si>
    <t>13UZT1491</t>
  </si>
  <si>
    <t>34L 11S 04D</t>
  </si>
  <si>
    <t>28ABE1491</t>
  </si>
  <si>
    <t>39L 08S 06D</t>
  </si>
  <si>
    <t>24MAR1491</t>
  </si>
  <si>
    <t>01L 11S 09D</t>
  </si>
  <si>
    <t>05API1491</t>
  </si>
  <si>
    <t>01L 03S 06D</t>
  </si>
  <si>
    <t>13ABU1491</t>
  </si>
  <si>
    <t>01L 09S 02D</t>
  </si>
  <si>
    <t>17URT1491</t>
  </si>
  <si>
    <t>51L 13S 06D</t>
  </si>
  <si>
    <t>05OTS1491</t>
  </si>
  <si>
    <t>17L 17S 09D</t>
  </si>
  <si>
    <t>28OTS1491</t>
  </si>
  <si>
    <t>33L 02S 06D</t>
  </si>
  <si>
    <t>21MAR1491</t>
  </si>
  <si>
    <t>56L 16S 02D</t>
  </si>
  <si>
    <t>21API1491</t>
  </si>
  <si>
    <t>04MAI1491</t>
  </si>
  <si>
    <t>44L 17S 08D</t>
  </si>
  <si>
    <t>04JUN1491</t>
  </si>
  <si>
    <t>79L 05S 00D</t>
  </si>
  <si>
    <t>24JUN1491</t>
  </si>
  <si>
    <t>18L 11S 00D</t>
  </si>
  <si>
    <t>52L 08S 03D</t>
  </si>
  <si>
    <t>15UZT1491</t>
  </si>
  <si>
    <t>40L 13S 03D</t>
  </si>
  <si>
    <t>41L 01S 06D</t>
  </si>
  <si>
    <t>11IRA1491</t>
  </si>
  <si>
    <t>41L 18S 01D</t>
  </si>
  <si>
    <t>01URR1491</t>
  </si>
  <si>
    <t>20L 07S 05D</t>
  </si>
  <si>
    <t>13URR1491</t>
  </si>
  <si>
    <t>29URR1491</t>
  </si>
  <si>
    <t>21L 00S 08D</t>
  </si>
  <si>
    <t>22AZA1491</t>
  </si>
  <si>
    <t>22ABE1491</t>
  </si>
  <si>
    <t>47L 04S 01D</t>
  </si>
  <si>
    <t>654L 05S 10D</t>
  </si>
  <si>
    <t>28OTS1492</t>
  </si>
  <si>
    <t>32L 16S 03D</t>
  </si>
  <si>
    <t>19UZT1492</t>
  </si>
  <si>
    <t>29L 05S 05D</t>
  </si>
  <si>
    <t>25URR1491</t>
  </si>
  <si>
    <t>29L 00S 02D</t>
  </si>
  <si>
    <t>17AZA1491</t>
  </si>
  <si>
    <t>28L 10S 03D</t>
  </si>
  <si>
    <t>14ABE1492</t>
  </si>
  <si>
    <t>28L10S 11D</t>
  </si>
  <si>
    <t>18API1492</t>
  </si>
  <si>
    <t>17URR1492</t>
  </si>
  <si>
    <t>01L 03S 05D</t>
  </si>
  <si>
    <t>17URT1492</t>
  </si>
  <si>
    <t>42L 08S 00D</t>
  </si>
  <si>
    <t>14OTS1492</t>
  </si>
  <si>
    <t>14MAR1492</t>
  </si>
  <si>
    <t>44L 01S 02D</t>
  </si>
  <si>
    <t>22MAR1492</t>
  </si>
  <si>
    <t>23L 10S 04D</t>
  </si>
  <si>
    <t>69L 14S 08D</t>
  </si>
  <si>
    <t>09API1492</t>
  </si>
  <si>
    <t>37L 05S 04D</t>
  </si>
  <si>
    <t>28API1492</t>
  </si>
  <si>
    <t>10MAI1492</t>
  </si>
  <si>
    <t>101L 00S 08D</t>
  </si>
  <si>
    <t>30MAI1492</t>
  </si>
  <si>
    <t>85L 09S 03D</t>
  </si>
  <si>
    <t>18EKA1492</t>
  </si>
  <si>
    <t>50L 13S 07D</t>
  </si>
  <si>
    <t>10UZT1492</t>
  </si>
  <si>
    <t>66L 03S 04D</t>
  </si>
  <si>
    <t>30ABU1492</t>
  </si>
  <si>
    <t>50L 16S 11D</t>
  </si>
  <si>
    <t>54L 03S 02D</t>
  </si>
  <si>
    <t>21IRA1492</t>
  </si>
  <si>
    <t>28IRA1492</t>
  </si>
  <si>
    <t>30L 02S 10D</t>
  </si>
  <si>
    <t>26URR1492</t>
  </si>
  <si>
    <t>33L 12S 05D</t>
  </si>
  <si>
    <t>26AZA1492</t>
  </si>
  <si>
    <t>12ABE1492</t>
  </si>
  <si>
    <t>43L 11S 02D</t>
  </si>
  <si>
    <t>879L 02S 00D</t>
  </si>
  <si>
    <t>26L 19S 07D</t>
  </si>
  <si>
    <t>28OTS1493</t>
  </si>
  <si>
    <t>30URT1493</t>
  </si>
  <si>
    <t>27L 06S 11D</t>
  </si>
  <si>
    <t>30MAR1493</t>
  </si>
  <si>
    <t>32L 12S 01D</t>
  </si>
  <si>
    <t>23EKA1493</t>
  </si>
  <si>
    <t>16L 10S 02D</t>
  </si>
  <si>
    <t>18ABE1493</t>
  </si>
  <si>
    <t>24L 17S 11D</t>
  </si>
  <si>
    <t>11MAR1493</t>
  </si>
  <si>
    <t>02L 05S 00D</t>
  </si>
  <si>
    <t>21URR1493</t>
  </si>
  <si>
    <t>03L 00S 01D</t>
  </si>
  <si>
    <t>24ABE1492</t>
  </si>
  <si>
    <t>17L 04S 06D</t>
  </si>
  <si>
    <t>14URT1493</t>
  </si>
  <si>
    <t>31URT1493</t>
  </si>
  <si>
    <t>37L 03S 08D</t>
  </si>
  <si>
    <t>16OTS1493</t>
  </si>
  <si>
    <t>35L 07s 03D</t>
  </si>
  <si>
    <t>14MAR1493</t>
  </si>
  <si>
    <t>77L 16S 10D</t>
  </si>
  <si>
    <t>22MAR1493</t>
  </si>
  <si>
    <t>12API1493</t>
  </si>
  <si>
    <t>89L 08S 09D</t>
  </si>
  <si>
    <t>21API1493</t>
  </si>
  <si>
    <t>141L 08S 11D</t>
  </si>
  <si>
    <t>12MAI1493</t>
  </si>
  <si>
    <t>152L 04S 02D</t>
  </si>
  <si>
    <t>08EKA1493</t>
  </si>
  <si>
    <t>94L 01S 06D</t>
  </si>
  <si>
    <t>19EKA1493</t>
  </si>
  <si>
    <t>55L 13S 00D</t>
  </si>
  <si>
    <t>11UZT1493</t>
  </si>
  <si>
    <t>55L 09S 08D</t>
  </si>
  <si>
    <t>26UZT1493</t>
  </si>
  <si>
    <t>81L 09S 09D</t>
  </si>
  <si>
    <t>18ABU1493</t>
  </si>
  <si>
    <t>41L 04S 10D</t>
  </si>
  <si>
    <t>31ABU1493</t>
  </si>
  <si>
    <t>51L 06S 10D</t>
  </si>
  <si>
    <t>10IRA1493</t>
  </si>
  <si>
    <t>37L 15S 03D</t>
  </si>
  <si>
    <t>27IRA1493</t>
  </si>
  <si>
    <t>19URR1493</t>
  </si>
  <si>
    <t>93L 08S 03D</t>
  </si>
  <si>
    <t>31URR1493</t>
  </si>
  <si>
    <t>62L 12S 02D</t>
  </si>
  <si>
    <t>14AZA1493</t>
  </si>
  <si>
    <t>28AZA1493</t>
  </si>
  <si>
    <t>73L 00S 10D</t>
  </si>
  <si>
    <t>86L 15S 09D</t>
  </si>
  <si>
    <t>28ABE1493</t>
  </si>
  <si>
    <t>96L 14S 06D</t>
  </si>
  <si>
    <t>1572L 05S 07D</t>
  </si>
  <si>
    <t>75L 13S 07D</t>
  </si>
  <si>
    <t>67L 02S 09D</t>
  </si>
  <si>
    <t>04L 04S 05D</t>
  </si>
  <si>
    <t>121L 12S 11D</t>
  </si>
  <si>
    <t>02L 15S 02D</t>
  </si>
  <si>
    <t>148L 03S 00D</t>
  </si>
  <si>
    <t>05L 05S 01D</t>
  </si>
  <si>
    <t>128L 06S 08D</t>
  </si>
  <si>
    <t>540L 18S 11D</t>
  </si>
  <si>
    <t>14L 13S 03D</t>
  </si>
  <si>
    <t>01L 05S 03D</t>
  </si>
  <si>
    <t>01L 03S 04D</t>
  </si>
  <si>
    <t>5440L 02S 03D 0.50OBL</t>
  </si>
  <si>
    <t>56L 5S 16D</t>
  </si>
  <si>
    <t>55L 12S 16D</t>
  </si>
  <si>
    <t>652L 18S 07D</t>
  </si>
  <si>
    <t>1L 5S 2D</t>
  </si>
  <si>
    <t>3L 6S 8D</t>
  </si>
  <si>
    <t>19L 05S 01D</t>
  </si>
  <si>
    <t>996L 14S 07D</t>
  </si>
  <si>
    <t>1185L 05S 01D</t>
  </si>
  <si>
    <t>7243L 18S 08D 0.50OBL</t>
  </si>
  <si>
    <t>3-4 pieza Lanketa Ontza batean (24-32 Pieza Markoan)</t>
  </si>
  <si>
    <t>4 pieza Lanketa Ontza batean (32 Pieza Markoan)</t>
  </si>
  <si>
    <t>Urrezko Nabarroak 1487-1493</t>
  </si>
  <si>
    <t>Kornadoa 1487-1493</t>
  </si>
  <si>
    <t>Diru Beltzak - Kornado erdiak 1487-1493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</si>
</sst>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 applyAlignment="1">
      <alignment horizontal="right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2713-56E2-4A80-8771-3993C09B3700}">
  <dimension ref="A5:AY85"/>
  <sheetViews>
    <sheetView tabSelected="1" topLeftCell="G43" zoomScale="33" zoomScaleNormal="40" workbookViewId="0">
      <selection activeCell="AJ83" sqref="AJ83"/>
    </sheetView>
  </sheetViews>
  <sheetFormatPr defaultRowHeight="14.5" x14ac:dyDescent="0.35"/>
  <cols>
    <col min="1" max="6" width="20.08984375" customWidth="1"/>
    <col min="7" max="7" width="13.54296875" style="4" customWidth="1"/>
    <col min="8" max="8" width="11.1796875" customWidth="1"/>
    <col min="9" max="10" width="9.453125" customWidth="1"/>
    <col min="11" max="11" width="13.90625" customWidth="1"/>
    <col min="12" max="12" width="12.08984375" customWidth="1"/>
    <col min="13" max="13" width="11.08984375" customWidth="1"/>
    <col min="14" max="14" width="11" bestFit="1" customWidth="1"/>
    <col min="15" max="15" width="9.26953125" bestFit="1" customWidth="1"/>
    <col min="16" max="17" width="9.26953125" customWidth="1"/>
    <col min="18" max="18" width="12" bestFit="1" customWidth="1"/>
    <col min="19" max="21" width="12" customWidth="1"/>
    <col min="22" max="22" width="9.26953125" bestFit="1" customWidth="1"/>
    <col min="23" max="24" width="9.26953125" customWidth="1"/>
    <col min="25" max="25" width="10.7265625" customWidth="1"/>
    <col min="26" max="30" width="9.26953125" customWidth="1"/>
    <col min="31" max="31" width="11.08984375" customWidth="1"/>
    <col min="32" max="35" width="9.26953125" customWidth="1"/>
    <col min="36" max="36" width="14.1796875" customWidth="1"/>
    <col min="37" max="37" width="9.1796875" hidden="1" customWidth="1"/>
    <col min="38" max="38" width="24.54296875" customWidth="1"/>
    <col min="39" max="39" width="13.1796875" customWidth="1"/>
    <col min="40" max="44" width="13" customWidth="1"/>
    <col min="45" max="45" width="21.54296875" customWidth="1"/>
    <col min="46" max="46" width="12" customWidth="1"/>
    <col min="47" max="47" width="13.453125" customWidth="1"/>
    <col min="48" max="48" width="13.6328125" customWidth="1"/>
    <col min="49" max="49" width="18.1796875" customWidth="1"/>
    <col min="50" max="50" width="12.54296875" customWidth="1"/>
    <col min="51" max="51" width="13.26953125" customWidth="1"/>
    <col min="58" max="59" width="18.90625" customWidth="1"/>
    <col min="60" max="60" width="12.81640625" customWidth="1"/>
    <col min="61" max="61" width="12.453125" customWidth="1"/>
    <col min="62" max="62" width="12.08984375" customWidth="1"/>
    <col min="63" max="63" width="13.08984375" customWidth="1"/>
    <col min="64" max="64" width="12.81640625" customWidth="1"/>
    <col min="65" max="65" width="11.7265625" customWidth="1"/>
    <col min="66" max="66" width="14.453125" customWidth="1"/>
  </cols>
  <sheetData>
    <row r="5" spans="1:45" ht="58" x14ac:dyDescent="0.35">
      <c r="B5" s="4" t="s">
        <v>38</v>
      </c>
      <c r="C5" s="1" t="s">
        <v>37</v>
      </c>
      <c r="D5" s="1" t="s">
        <v>60</v>
      </c>
      <c r="E5" s="1" t="s">
        <v>61</v>
      </c>
      <c r="F5" s="1" t="s">
        <v>62</v>
      </c>
      <c r="G5" s="1" t="s">
        <v>38</v>
      </c>
      <c r="H5" s="1" t="s">
        <v>106</v>
      </c>
      <c r="I5" s="1" t="s">
        <v>56</v>
      </c>
      <c r="J5" s="1" t="s">
        <v>59</v>
      </c>
      <c r="K5" s="1" t="s">
        <v>57</v>
      </c>
      <c r="L5" s="1" t="s">
        <v>58</v>
      </c>
      <c r="M5" s="4" t="s">
        <v>38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4" t="s">
        <v>38</v>
      </c>
      <c r="T5" s="1" t="s">
        <v>68</v>
      </c>
      <c r="U5" s="1" t="s">
        <v>69</v>
      </c>
      <c r="V5" s="1" t="s">
        <v>70</v>
      </c>
      <c r="W5" s="1" t="s">
        <v>185</v>
      </c>
      <c r="X5" s="1" t="s">
        <v>71</v>
      </c>
      <c r="Y5" s="4" t="s">
        <v>38</v>
      </c>
      <c r="Z5" s="1" t="s">
        <v>72</v>
      </c>
      <c r="AA5" s="1" t="s">
        <v>73</v>
      </c>
      <c r="AB5" s="1" t="s">
        <v>74</v>
      </c>
      <c r="AC5" s="1" t="s">
        <v>75</v>
      </c>
      <c r="AD5" s="1" t="s">
        <v>76</v>
      </c>
      <c r="AE5" s="4" t="s">
        <v>38</v>
      </c>
      <c r="AF5" s="1" t="s">
        <v>77</v>
      </c>
      <c r="AG5" s="1" t="s">
        <v>78</v>
      </c>
      <c r="AH5" s="1" t="s">
        <v>79</v>
      </c>
      <c r="AI5" s="1" t="s">
        <v>80</v>
      </c>
      <c r="AJ5" s="1" t="s">
        <v>81</v>
      </c>
    </row>
    <row r="7" spans="1:45" x14ac:dyDescent="0.35">
      <c r="A7" t="s">
        <v>33</v>
      </c>
      <c r="R7" s="1"/>
      <c r="S7" s="1"/>
      <c r="T7" s="1"/>
      <c r="U7" s="1"/>
    </row>
    <row r="8" spans="1:45" x14ac:dyDescent="0.35">
      <c r="A8" t="s">
        <v>33</v>
      </c>
      <c r="R8" s="3"/>
      <c r="S8" s="3"/>
      <c r="T8" s="3"/>
      <c r="U8" s="3"/>
    </row>
    <row r="9" spans="1:45" x14ac:dyDescent="0.35">
      <c r="A9" t="s">
        <v>33</v>
      </c>
      <c r="R9" s="1"/>
      <c r="S9" s="1"/>
      <c r="T9" s="1"/>
      <c r="U9" s="1"/>
    </row>
    <row r="10" spans="1:45" x14ac:dyDescent="0.35">
      <c r="A10" t="s">
        <v>33</v>
      </c>
      <c r="R10" s="1"/>
      <c r="S10" s="1"/>
      <c r="T10" s="1"/>
      <c r="U10" s="1"/>
    </row>
    <row r="11" spans="1:45" x14ac:dyDescent="0.35">
      <c r="A11" t="s">
        <v>33</v>
      </c>
      <c r="R11" s="1"/>
      <c r="S11" s="1"/>
      <c r="T11" s="1"/>
      <c r="U11" s="1"/>
    </row>
    <row r="12" spans="1:45" x14ac:dyDescent="0.35">
      <c r="A12" t="s">
        <v>33</v>
      </c>
      <c r="R12" s="1"/>
      <c r="S12" s="1"/>
      <c r="T12" s="1"/>
      <c r="U12" s="1"/>
    </row>
    <row r="13" spans="1:45" x14ac:dyDescent="0.35">
      <c r="A13" t="s">
        <v>33</v>
      </c>
      <c r="R13" s="1"/>
      <c r="S13" s="1"/>
      <c r="T13" s="1"/>
      <c r="U13" s="1"/>
      <c r="AL13" s="5"/>
      <c r="AM13" s="5">
        <v>1488</v>
      </c>
      <c r="AN13" s="5">
        <v>1489</v>
      </c>
      <c r="AO13" s="5">
        <v>1490</v>
      </c>
      <c r="AP13" s="5">
        <v>1491</v>
      </c>
      <c r="AQ13" s="5">
        <v>1492</v>
      </c>
      <c r="AR13" s="5">
        <v>1493</v>
      </c>
      <c r="AS13" s="6" t="s">
        <v>2</v>
      </c>
    </row>
    <row r="14" spans="1:45" x14ac:dyDescent="0.35">
      <c r="A14" t="s">
        <v>33</v>
      </c>
      <c r="R14" s="1"/>
      <c r="S14" s="1"/>
      <c r="T14" s="1"/>
      <c r="U14" s="1"/>
      <c r="AL14" s="5" t="s">
        <v>3</v>
      </c>
      <c r="AM14" s="5">
        <f>SUM(D16:D21)</f>
        <v>0</v>
      </c>
      <c r="AN14" s="5">
        <f>SUM(I16:I21)</f>
        <v>404430</v>
      </c>
      <c r="AO14" s="5">
        <f>SUM(O16:O21)</f>
        <v>356287</v>
      </c>
      <c r="AP14" s="5">
        <f>SUM(U16:U21)</f>
        <v>643356.5</v>
      </c>
      <c r="AQ14" s="5">
        <f>SUM(AA16:AA21)</f>
        <v>776258</v>
      </c>
      <c r="AR14" s="5">
        <f>SUM(AG16:AG21)</f>
        <v>684592</v>
      </c>
      <c r="AS14" s="7">
        <f>SUM(AM14:AR14)</f>
        <v>2864923.5</v>
      </c>
    </row>
    <row r="15" spans="1:45" x14ac:dyDescent="0.35">
      <c r="A15" t="s">
        <v>33</v>
      </c>
      <c r="R15" s="1"/>
      <c r="S15" s="1"/>
      <c r="T15" s="1"/>
      <c r="U15" s="1"/>
      <c r="AL15" s="5" t="s">
        <v>0</v>
      </c>
      <c r="AM15" s="5">
        <f>SUM(C16:C21)</f>
        <v>0</v>
      </c>
      <c r="AN15" s="10">
        <f>SUM(H16:H21)</f>
        <v>1453.125</v>
      </c>
      <c r="AO15" s="10">
        <f>SUM(N16:N21)</f>
        <v>1288.25</v>
      </c>
      <c r="AP15" s="10">
        <f>SUM(T16:T21)</f>
        <v>2335.6875</v>
      </c>
      <c r="AQ15" s="10">
        <f>SUM(Z16:Z21)</f>
        <v>2844.625</v>
      </c>
      <c r="AR15" s="10">
        <f>SUM(AF16:AF21)</f>
        <v>2464</v>
      </c>
      <c r="AS15" s="11">
        <f>SUM(AM15:AR15)</f>
        <v>10385.6875</v>
      </c>
    </row>
    <row r="16" spans="1:45" x14ac:dyDescent="0.35">
      <c r="A16" t="s">
        <v>34</v>
      </c>
      <c r="G16" s="4" t="s">
        <v>87</v>
      </c>
      <c r="H16">
        <v>250.625</v>
      </c>
      <c r="I16">
        <f>H16*272</f>
        <v>68170</v>
      </c>
      <c r="J16">
        <f>H16*0.0338541666666667</f>
        <v>8.484700520833341</v>
      </c>
      <c r="K16">
        <f>H16*0.0347222222222222</f>
        <v>8.7022569444444393</v>
      </c>
      <c r="L16" s="15" t="s">
        <v>55</v>
      </c>
      <c r="M16" s="15" t="s">
        <v>144</v>
      </c>
      <c r="N16" s="2">
        <v>443.875</v>
      </c>
      <c r="O16">
        <f>N16*280</f>
        <v>124285</v>
      </c>
      <c r="P16">
        <f>N16*0.0347222222222222</f>
        <v>15.41232638888888</v>
      </c>
      <c r="Q16">
        <f>N16*0.0347222222222222</f>
        <v>15.41232638888888</v>
      </c>
      <c r="R16" s="1" t="s">
        <v>145</v>
      </c>
      <c r="S16" s="1" t="s">
        <v>184</v>
      </c>
      <c r="T16" s="1">
        <v>230</v>
      </c>
      <c r="U16" s="1">
        <f>T16*272</f>
        <v>62560</v>
      </c>
      <c r="V16">
        <f>T16*0.0364583333333333</f>
        <v>8.385416666666659</v>
      </c>
      <c r="W16">
        <f>T16*0.0347222222222222</f>
        <v>7.9861111111111063</v>
      </c>
      <c r="X16" t="s">
        <v>186</v>
      </c>
      <c r="Y16" t="s">
        <v>229</v>
      </c>
      <c r="Z16">
        <v>630</v>
      </c>
      <c r="AA16">
        <f>Z16*276</f>
        <v>173880</v>
      </c>
      <c r="AB16">
        <f>Z16*0.0364583333333333</f>
        <v>22.968749999999979</v>
      </c>
      <c r="AC16">
        <f>Z16*0.0347222222222222</f>
        <v>21.874999999999989</v>
      </c>
      <c r="AD16" t="s">
        <v>230</v>
      </c>
      <c r="AE16" t="s">
        <v>275</v>
      </c>
      <c r="AF16">
        <v>518</v>
      </c>
      <c r="AG16">
        <f>AF16*272</f>
        <v>140896</v>
      </c>
      <c r="AH16">
        <f>AF16*0.0347222222222222</f>
        <v>17.9861111111111</v>
      </c>
      <c r="AI16">
        <f>AF16*0.0347222222222222</f>
        <v>17.9861111111111</v>
      </c>
      <c r="AJ16" t="s">
        <v>273</v>
      </c>
      <c r="AL16" s="5" t="s">
        <v>40</v>
      </c>
      <c r="AM16" s="5">
        <f>SUM(E16:E21)</f>
        <v>0</v>
      </c>
      <c r="AN16" s="10">
        <f>SUM(J16:J21)</f>
        <v>50.588785807291686</v>
      </c>
      <c r="AO16" s="10">
        <f>SUM(P16:P21)</f>
        <v>45.318359374999972</v>
      </c>
      <c r="AP16" s="10">
        <f>SUM(V16:V21)</f>
        <v>84.128038194444386</v>
      </c>
      <c r="AQ16" s="10">
        <f>SUM(AB16:AB21)</f>
        <v>104.61914062499996</v>
      </c>
      <c r="AR16" s="10">
        <f>SUM(AH16:AH21)</f>
        <v>85.555555555555515</v>
      </c>
      <c r="AS16" s="11">
        <f>SUM(AM16:AR16)</f>
        <v>370.20987955729152</v>
      </c>
    </row>
    <row r="17" spans="1:45" x14ac:dyDescent="0.35">
      <c r="A17" t="s">
        <v>34</v>
      </c>
      <c r="G17" s="4" t="s">
        <v>82</v>
      </c>
      <c r="H17">
        <v>493.5</v>
      </c>
      <c r="I17">
        <f>H17*280</f>
        <v>138180</v>
      </c>
      <c r="J17">
        <f>H17*0.0355902777777778</f>
        <v>17.563802083333343</v>
      </c>
      <c r="K17">
        <f>H17*0.0347222222222222</f>
        <v>17.135416666666657</v>
      </c>
      <c r="L17" s="15" t="s">
        <v>83</v>
      </c>
      <c r="M17" s="15" t="s">
        <v>146</v>
      </c>
      <c r="N17" s="2">
        <v>338.375</v>
      </c>
      <c r="O17">
        <f>N17*272</f>
        <v>92038</v>
      </c>
      <c r="P17">
        <f>N17*0.0364583333333333</f>
        <v>12.336588541666655</v>
      </c>
      <c r="Q17">
        <f>N17*0.0347222222222222</f>
        <v>11.749131944444438</v>
      </c>
      <c r="R17" s="1" t="s">
        <v>148</v>
      </c>
      <c r="S17" s="1" t="s">
        <v>187</v>
      </c>
      <c r="T17" s="1">
        <v>685</v>
      </c>
      <c r="U17" s="1">
        <f>T17*276</f>
        <v>189060</v>
      </c>
      <c r="V17">
        <f>T17*0.0347222222222222</f>
        <v>23.784722222222211</v>
      </c>
      <c r="W17">
        <f>T17*0.0347222222222222</f>
        <v>23.784722222222211</v>
      </c>
      <c r="X17" t="s">
        <v>188</v>
      </c>
      <c r="Y17" t="s">
        <v>231</v>
      </c>
      <c r="Z17">
        <v>562</v>
      </c>
      <c r="AA17">
        <f>Z17*272</f>
        <v>152864</v>
      </c>
      <c r="AB17">
        <f>Z17*0.0347222222222222</f>
        <v>19.513888888888879</v>
      </c>
      <c r="AC17">
        <f>Z17*0.0347222222222222</f>
        <v>19.513888888888879</v>
      </c>
      <c r="AD17" t="s">
        <v>232</v>
      </c>
      <c r="AE17" t="s">
        <v>274</v>
      </c>
      <c r="AF17">
        <v>525</v>
      </c>
      <c r="AG17">
        <f>AF17*280</f>
        <v>147000</v>
      </c>
      <c r="AH17">
        <f>AF17*0.0347222222222222</f>
        <v>18.229166666666657</v>
      </c>
      <c r="AI17">
        <f>AF17*0.0347222222222222</f>
        <v>18.229166666666657</v>
      </c>
      <c r="AJ17" t="s">
        <v>276</v>
      </c>
      <c r="AL17" s="5" t="s">
        <v>1</v>
      </c>
      <c r="AM17" s="6">
        <v>0</v>
      </c>
      <c r="AN17" s="6" t="s">
        <v>329</v>
      </c>
      <c r="AO17" s="6" t="s">
        <v>330</v>
      </c>
      <c r="AP17" s="6" t="s">
        <v>332</v>
      </c>
      <c r="AQ17" s="6" t="s">
        <v>334</v>
      </c>
      <c r="AR17" s="6" t="s">
        <v>336</v>
      </c>
      <c r="AS17" s="6" t="s">
        <v>337</v>
      </c>
    </row>
    <row r="18" spans="1:45" x14ac:dyDescent="0.35">
      <c r="A18" t="s">
        <v>34</v>
      </c>
      <c r="G18" s="4" t="s">
        <v>84</v>
      </c>
      <c r="H18">
        <v>309.59375</v>
      </c>
      <c r="I18">
        <f>H18*280</f>
        <v>86686.25</v>
      </c>
      <c r="J18">
        <f>H18*0.0338541666666667</f>
        <v>10.481038411458343</v>
      </c>
      <c r="K18">
        <f>H18*0.0347222222222222</f>
        <v>10.749782986111105</v>
      </c>
      <c r="L18" s="15" t="s">
        <v>85</v>
      </c>
      <c r="M18" s="15" t="s">
        <v>149</v>
      </c>
      <c r="N18">
        <v>224.5</v>
      </c>
      <c r="O18">
        <f>N18*280</f>
        <v>62860</v>
      </c>
      <c r="P18">
        <f>N18*0.0347222222222222</f>
        <v>7.7951388888888848</v>
      </c>
      <c r="Q18">
        <f>N18*0.0347222222222222</f>
        <v>7.7951388888888848</v>
      </c>
      <c r="R18" s="1" t="s">
        <v>147</v>
      </c>
      <c r="S18" s="1" t="s">
        <v>189</v>
      </c>
      <c r="T18" s="1">
        <v>663.6875</v>
      </c>
      <c r="U18" s="1">
        <f>T18*280</f>
        <v>185832.5</v>
      </c>
      <c r="V18">
        <f>T18*0.0347222222222222</f>
        <v>23.0447048611111</v>
      </c>
      <c r="W18">
        <f>T18*0.0347222222222222</f>
        <v>23.0447048611111</v>
      </c>
      <c r="X18" t="s">
        <v>190</v>
      </c>
      <c r="Y18" t="s">
        <v>233</v>
      </c>
      <c r="Z18">
        <v>557</v>
      </c>
      <c r="AA18">
        <f>Z18*272</f>
        <v>151504</v>
      </c>
      <c r="AB18">
        <f>Z18*0.0347222222222222</f>
        <v>19.340277777777768</v>
      </c>
      <c r="AC18">
        <f>Z18*0.0347222222222222</f>
        <v>19.340277777777768</v>
      </c>
      <c r="AD18" t="s">
        <v>234</v>
      </c>
      <c r="AE18" t="s">
        <v>277</v>
      </c>
      <c r="AF18">
        <v>626</v>
      </c>
      <c r="AG18">
        <f>AF18*272</f>
        <v>170272</v>
      </c>
      <c r="AH18">
        <f>AF18*0.0347222222222222</f>
        <v>21.7361111111111</v>
      </c>
      <c r="AI18">
        <f>AF18*0.0347222222222222</f>
        <v>21.7361111111111</v>
      </c>
      <c r="AJ18" t="s">
        <v>278</v>
      </c>
    </row>
    <row r="19" spans="1:45" x14ac:dyDescent="0.35">
      <c r="A19" t="s">
        <v>34</v>
      </c>
      <c r="G19" s="4" t="s">
        <v>86</v>
      </c>
      <c r="H19">
        <v>344.40625</v>
      </c>
      <c r="I19">
        <f>H19*280</f>
        <v>96433.75</v>
      </c>
      <c r="J19">
        <f>H19*0.0347222222222222</f>
        <v>11.958550347222216</v>
      </c>
      <c r="K19">
        <f>H19*0.0347222222222222</f>
        <v>11.958550347222216</v>
      </c>
      <c r="L19" s="15" t="s">
        <v>89</v>
      </c>
      <c r="M19" s="15" t="s">
        <v>150</v>
      </c>
      <c r="N19" s="2">
        <v>67</v>
      </c>
      <c r="O19">
        <f>N19*280</f>
        <v>18760</v>
      </c>
      <c r="P19">
        <f>N19*0.0347222222222222</f>
        <v>2.3263888888888875</v>
      </c>
      <c r="Q19">
        <f>N19*0.0347222222222222</f>
        <v>2.3263888888888875</v>
      </c>
      <c r="R19" s="1" t="s">
        <v>153</v>
      </c>
      <c r="S19" s="1" t="s">
        <v>191</v>
      </c>
      <c r="T19" s="1">
        <v>757</v>
      </c>
      <c r="U19" s="1">
        <f>T19*272</f>
        <v>205904</v>
      </c>
      <c r="V19">
        <f>T19*0.0381944444444444</f>
        <v>28.913194444444411</v>
      </c>
      <c r="W19">
        <f>T19*0.0347222222222222</f>
        <v>26.284722222222207</v>
      </c>
      <c r="X19" t="s">
        <v>192</v>
      </c>
      <c r="Y19" t="s">
        <v>235</v>
      </c>
      <c r="Z19">
        <v>547.5</v>
      </c>
      <c r="AA19">
        <f>Z19*272</f>
        <v>148920</v>
      </c>
      <c r="AB19">
        <f>Z19*0.0416666666666667</f>
        <v>22.812500000000018</v>
      </c>
      <c r="AC19">
        <f>Z19*0.0347222222222222</f>
        <v>19.010416666666657</v>
      </c>
      <c r="AD19" t="s">
        <v>236</v>
      </c>
      <c r="AE19" t="s">
        <v>279</v>
      </c>
      <c r="AF19">
        <v>317</v>
      </c>
      <c r="AG19">
        <f>AF19*280</f>
        <v>88760</v>
      </c>
      <c r="AH19">
        <f>AF19*0.0347222222222222</f>
        <v>11.006944444444438</v>
      </c>
      <c r="AI19">
        <f>AF19*0.0347222222222222</f>
        <v>11.006944444444438</v>
      </c>
      <c r="AJ19" t="s">
        <v>280</v>
      </c>
      <c r="AL19" s="5"/>
      <c r="AM19" s="5">
        <v>1488</v>
      </c>
      <c r="AN19" s="5">
        <v>1489</v>
      </c>
      <c r="AO19" s="5">
        <v>1490</v>
      </c>
      <c r="AP19" s="5">
        <v>1491</v>
      </c>
      <c r="AQ19" s="5">
        <v>1492</v>
      </c>
      <c r="AR19" s="5">
        <v>1493</v>
      </c>
      <c r="AS19" s="6" t="s">
        <v>2</v>
      </c>
    </row>
    <row r="20" spans="1:45" x14ac:dyDescent="0.35">
      <c r="A20" t="s">
        <v>34</v>
      </c>
      <c r="G20" s="4" t="s">
        <v>88</v>
      </c>
      <c r="H20">
        <v>55</v>
      </c>
      <c r="I20">
        <f>H20*272</f>
        <v>14960</v>
      </c>
      <c r="J20">
        <f>H20*0.0381944444444444</f>
        <v>2.100694444444442</v>
      </c>
      <c r="K20">
        <f>H20*0.0347222222222222</f>
        <v>1.9097222222222212</v>
      </c>
      <c r="L20" s="15" t="s">
        <v>90</v>
      </c>
      <c r="M20" s="15" t="s">
        <v>151</v>
      </c>
      <c r="N20" s="2">
        <v>214.5</v>
      </c>
      <c r="O20">
        <f>N20*272</f>
        <v>58344</v>
      </c>
      <c r="P20">
        <f>N20*0.0347222222222222</f>
        <v>7.4479166666666625</v>
      </c>
      <c r="Q20">
        <f t="shared" ref="Q20" si="0">N20*0.0347222222222222</f>
        <v>7.4479166666666625</v>
      </c>
      <c r="R20" s="1" t="s">
        <v>152</v>
      </c>
      <c r="S20" s="1"/>
      <c r="T20" s="1"/>
      <c r="U20" s="1"/>
      <c r="Y20" t="s">
        <v>237</v>
      </c>
      <c r="Z20">
        <v>548.125</v>
      </c>
      <c r="AA20">
        <f>Z20*272</f>
        <v>149090</v>
      </c>
      <c r="AB20">
        <f>Z20*0.0364583333333333</f>
        <v>19.983723958333314</v>
      </c>
      <c r="AC20">
        <f>Z20*0.0347222222222222</f>
        <v>19.032118055555546</v>
      </c>
      <c r="AD20" t="s">
        <v>238</v>
      </c>
      <c r="AE20" t="s">
        <v>281</v>
      </c>
      <c r="AF20">
        <v>478</v>
      </c>
      <c r="AG20">
        <f>AF20*288</f>
        <v>137664</v>
      </c>
      <c r="AH20">
        <f>AF20*0.0347222222222222</f>
        <v>16.597222222222214</v>
      </c>
      <c r="AI20">
        <f>AF20*0.0347222222222222</f>
        <v>16.597222222222214</v>
      </c>
      <c r="AJ20" t="s">
        <v>282</v>
      </c>
      <c r="AL20" s="5" t="s">
        <v>4</v>
      </c>
      <c r="AM20" s="5">
        <f>SUM(D22)</f>
        <v>0</v>
      </c>
      <c r="AN20" s="5">
        <f>SUM(I22)</f>
        <v>17072</v>
      </c>
      <c r="AO20" s="5">
        <f>SUM(O22)</f>
        <v>16826</v>
      </c>
      <c r="AP20" s="5">
        <f>SUM(U22:U24)</f>
        <v>60156</v>
      </c>
      <c r="AQ20" s="5">
        <f>SUM(AA22:AA24)</f>
        <v>39008</v>
      </c>
      <c r="AR20" s="5">
        <f>SUM(AG22:AG24)</f>
        <v>74336</v>
      </c>
      <c r="AS20" s="5">
        <f>SUM(AM20:AR20)</f>
        <v>207398</v>
      </c>
    </row>
    <row r="21" spans="1:45" x14ac:dyDescent="0.35">
      <c r="A21" t="s">
        <v>34</v>
      </c>
      <c r="L21" s="15"/>
      <c r="M21" s="15"/>
      <c r="N21" s="2"/>
      <c r="R21" s="1"/>
      <c r="S21" s="1"/>
      <c r="T21" s="1"/>
      <c r="U21" s="1"/>
      <c r="AL21" s="5" t="s">
        <v>0</v>
      </c>
      <c r="AM21" s="5">
        <f>SUM(C22)</f>
        <v>0</v>
      </c>
      <c r="AN21" s="10">
        <f>SUM(H22)</f>
        <v>48.5</v>
      </c>
      <c r="AO21" s="10">
        <f>SUM(N22)</f>
        <v>44.75</v>
      </c>
      <c r="AP21" s="10">
        <f>SUM(T22:T24)</f>
        <v>162.25</v>
      </c>
      <c r="AQ21" s="10">
        <f>SUM(Z22:Z24)</f>
        <v>106</v>
      </c>
      <c r="AR21" s="10">
        <f>SUM(AF22:AF24)</f>
        <v>202</v>
      </c>
      <c r="AS21" s="5">
        <f>SUM(AM21:AR21)</f>
        <v>563.5</v>
      </c>
    </row>
    <row r="22" spans="1:45" x14ac:dyDescent="0.35">
      <c r="A22" t="s">
        <v>35</v>
      </c>
      <c r="G22" s="4" t="s">
        <v>88</v>
      </c>
      <c r="H22">
        <v>48.5</v>
      </c>
      <c r="I22">
        <f>H22*352</f>
        <v>17072</v>
      </c>
      <c r="J22">
        <f>H22*0.0190972222222222</f>
        <v>0.92621527777777668</v>
      </c>
      <c r="K22">
        <f>H22*0.0173611111111111</f>
        <v>0.8420138888888884</v>
      </c>
      <c r="L22" s="15" t="s">
        <v>91</v>
      </c>
      <c r="M22" s="15" t="s">
        <v>149</v>
      </c>
      <c r="N22">
        <v>44.75</v>
      </c>
      <c r="O22">
        <f>N22*376</f>
        <v>16826</v>
      </c>
      <c r="P22">
        <f>N22*0.0173611111111111</f>
        <v>0.77690972222222177</v>
      </c>
      <c r="Q22">
        <f>N22*0.0173611111111111</f>
        <v>0.77690972222222177</v>
      </c>
      <c r="R22" s="1" t="s">
        <v>154</v>
      </c>
      <c r="S22" s="1" t="s">
        <v>193</v>
      </c>
      <c r="T22" s="1">
        <v>61</v>
      </c>
      <c r="U22" s="1">
        <f>T22*368</f>
        <v>22448</v>
      </c>
      <c r="V22">
        <f>T22*0.0173611111111111</f>
        <v>1.0590277777777772</v>
      </c>
      <c r="W22">
        <f>0.0173611111111111*T22</f>
        <v>1.0590277777777772</v>
      </c>
      <c r="X22" t="s">
        <v>194</v>
      </c>
      <c r="Y22" t="s">
        <v>239</v>
      </c>
      <c r="Z22">
        <v>61</v>
      </c>
      <c r="AA22">
        <f>Z22*368</f>
        <v>22448</v>
      </c>
      <c r="AB22">
        <f>0.0173611111111111*Z22</f>
        <v>1.0590277777777772</v>
      </c>
      <c r="AC22">
        <f>0.0173611111111111*Z22</f>
        <v>1.0590277777777772</v>
      </c>
      <c r="AD22" t="s">
        <v>194</v>
      </c>
      <c r="AE22" t="s">
        <v>283</v>
      </c>
      <c r="AF22">
        <v>86.5</v>
      </c>
      <c r="AG22">
        <f>AF22*368</f>
        <v>31832</v>
      </c>
      <c r="AH22">
        <f>AF22*0.0173611111111111</f>
        <v>1.5017361111111103</v>
      </c>
      <c r="AI22">
        <f>AF22*0.0173611111111111</f>
        <v>1.5017361111111103</v>
      </c>
      <c r="AJ22" t="s">
        <v>284</v>
      </c>
      <c r="AL22" s="5" t="s">
        <v>40</v>
      </c>
      <c r="AM22" s="5">
        <f>SUM(E22)</f>
        <v>0</v>
      </c>
      <c r="AN22" s="10">
        <f>SUM(J22)</f>
        <v>0.92621527777777668</v>
      </c>
      <c r="AO22" s="10">
        <f>SUM(P22)</f>
        <v>0.77690972222222177</v>
      </c>
      <c r="AP22" s="10">
        <f>SUM(V22:V24)</f>
        <v>2.9140624999999973</v>
      </c>
      <c r="AQ22" s="10">
        <f>SUM(AB22:AB24)</f>
        <v>1.9965277777777759</v>
      </c>
      <c r="AR22" s="10">
        <f>SUM(AH22:AH24)</f>
        <v>3.5069444444444424</v>
      </c>
      <c r="AS22" s="11">
        <f>SUM(AM22:AR22)</f>
        <v>10.120659722222214</v>
      </c>
    </row>
    <row r="23" spans="1:45" x14ac:dyDescent="0.35">
      <c r="A23" t="s">
        <v>35</v>
      </c>
      <c r="S23" s="1" t="s">
        <v>195</v>
      </c>
      <c r="T23" s="1">
        <v>45.25</v>
      </c>
      <c r="U23" s="1">
        <f>T23*368</f>
        <v>16652</v>
      </c>
      <c r="V23">
        <f>T23*0.0173611111111111</f>
        <v>0.78559027777777735</v>
      </c>
      <c r="W23">
        <f>0.0173611111111111*T23</f>
        <v>0.78559027777777735</v>
      </c>
      <c r="X23" t="s">
        <v>196</v>
      </c>
      <c r="Y23" t="s">
        <v>240</v>
      </c>
      <c r="Z23">
        <v>45</v>
      </c>
      <c r="AA23">
        <f>Z23*368</f>
        <v>16560</v>
      </c>
      <c r="AB23">
        <f>Z23*0.0208333333333333</f>
        <v>0.93749999999999856</v>
      </c>
      <c r="AC23">
        <f>0.0173611111111111*Z23</f>
        <v>0.78124999999999956</v>
      </c>
      <c r="AD23" t="s">
        <v>241</v>
      </c>
      <c r="AE23" t="s">
        <v>285</v>
      </c>
      <c r="AF23">
        <v>115.5</v>
      </c>
      <c r="AG23">
        <f>AF23*368</f>
        <v>42504</v>
      </c>
      <c r="AH23">
        <f>AF23*0.0173611111111111</f>
        <v>2.0052083333333321</v>
      </c>
      <c r="AI23">
        <f>AF23*0.0173611111111111</f>
        <v>2.0052083333333321</v>
      </c>
      <c r="AJ23" t="s">
        <v>286</v>
      </c>
      <c r="AL23" s="5" t="s">
        <v>1</v>
      </c>
      <c r="AM23" s="6">
        <v>0</v>
      </c>
      <c r="AN23" s="6" t="s">
        <v>339</v>
      </c>
      <c r="AO23" s="16" t="s">
        <v>340</v>
      </c>
      <c r="AP23" s="16" t="s">
        <v>331</v>
      </c>
      <c r="AQ23" s="16" t="s">
        <v>333</v>
      </c>
      <c r="AR23" s="16" t="s">
        <v>335</v>
      </c>
      <c r="AS23" s="6" t="s">
        <v>338</v>
      </c>
    </row>
    <row r="24" spans="1:45" x14ac:dyDescent="0.35">
      <c r="A24" t="s">
        <v>35</v>
      </c>
      <c r="S24" s="1" t="s">
        <v>197</v>
      </c>
      <c r="T24" s="1">
        <v>56</v>
      </c>
      <c r="U24" s="1">
        <f>T24*376</f>
        <v>21056</v>
      </c>
      <c r="V24">
        <f>T24*0.0190972222222222</f>
        <v>1.0694444444444431</v>
      </c>
      <c r="W24">
        <f>0.0173611111111111*T24</f>
        <v>0.97222222222222165</v>
      </c>
      <c r="X24" t="s">
        <v>198</v>
      </c>
      <c r="AM24" s="15"/>
      <c r="AN24" s="27"/>
      <c r="AO24" s="27"/>
      <c r="AP24" s="27"/>
      <c r="AQ24" s="27"/>
      <c r="AR24" s="27"/>
      <c r="AS24" s="15"/>
    </row>
    <row r="25" spans="1:45" x14ac:dyDescent="0.35">
      <c r="A25" t="s">
        <v>35</v>
      </c>
      <c r="S25" s="1"/>
      <c r="T25" s="1"/>
      <c r="U25" s="1"/>
      <c r="AM25" s="15"/>
      <c r="AN25" s="27"/>
      <c r="AO25" s="27"/>
      <c r="AP25" s="27"/>
      <c r="AQ25" s="27"/>
      <c r="AR25" s="27"/>
      <c r="AS25" s="15"/>
    </row>
    <row r="26" spans="1:45" x14ac:dyDescent="0.35">
      <c r="A26" t="s">
        <v>35</v>
      </c>
    </row>
    <row r="27" spans="1:45" x14ac:dyDescent="0.35">
      <c r="A27" t="s">
        <v>35</v>
      </c>
      <c r="C27" t="s">
        <v>34</v>
      </c>
      <c r="G27" t="s">
        <v>34</v>
      </c>
      <c r="H27" t="s">
        <v>143</v>
      </c>
      <c r="O27" t="s">
        <v>34</v>
      </c>
      <c r="P27" t="s">
        <v>143</v>
      </c>
      <c r="U27" t="s">
        <v>34</v>
      </c>
      <c r="V27" t="s">
        <v>143</v>
      </c>
      <c r="Z27" t="s">
        <v>34</v>
      </c>
      <c r="AA27" t="s">
        <v>143</v>
      </c>
      <c r="AG27" t="s">
        <v>34</v>
      </c>
      <c r="AH27" t="s">
        <v>143</v>
      </c>
      <c r="AL27" s="5"/>
      <c r="AM27" s="5">
        <v>1488</v>
      </c>
      <c r="AN27" s="5">
        <v>1489</v>
      </c>
      <c r="AO27" s="5">
        <v>1490</v>
      </c>
      <c r="AP27" s="5">
        <v>1491</v>
      </c>
      <c r="AQ27" s="5">
        <v>1492</v>
      </c>
      <c r="AR27" s="5">
        <v>1493</v>
      </c>
      <c r="AS27" s="6" t="s">
        <v>2</v>
      </c>
    </row>
    <row r="28" spans="1:45" x14ac:dyDescent="0.35">
      <c r="AL28" s="5" t="s">
        <v>54</v>
      </c>
      <c r="AM28" s="8">
        <f>SUM(D33:D53)</f>
        <v>2564.8515624999955</v>
      </c>
      <c r="AN28" s="8">
        <f>SUM(I33:I53)</f>
        <v>16155.747222222215</v>
      </c>
      <c r="AO28" s="8">
        <f>O57</f>
        <v>13020.935625</v>
      </c>
      <c r="AP28" s="8">
        <f>U57</f>
        <v>8892.505000000001</v>
      </c>
      <c r="AQ28" s="8">
        <f>AA57</f>
        <v>11955.6390625</v>
      </c>
      <c r="AR28" s="8">
        <f>AG57</f>
        <v>21369.1484375</v>
      </c>
      <c r="AS28" s="5">
        <f>SUM(AM28:AR28)</f>
        <v>73958.826909722207</v>
      </c>
    </row>
    <row r="29" spans="1:45" x14ac:dyDescent="0.35">
      <c r="B29" t="s">
        <v>142</v>
      </c>
      <c r="G29" s="4">
        <f>SUM(I16:I20)</f>
        <v>404430</v>
      </c>
      <c r="H29">
        <f>SUM(I22)</f>
        <v>17072</v>
      </c>
      <c r="O29">
        <f>SUM(O16:O20)</f>
        <v>356287</v>
      </c>
      <c r="P29">
        <f>SUM(O22)</f>
        <v>16826</v>
      </c>
      <c r="U29">
        <f>SUM(U16:U19)</f>
        <v>643356.5</v>
      </c>
      <c r="V29">
        <f>SUM(U22:U24)</f>
        <v>60156</v>
      </c>
      <c r="Z29">
        <f>SUM(AA16:AA20)</f>
        <v>776258</v>
      </c>
      <c r="AA29">
        <f>SUM(AA22:AA23)</f>
        <v>39008</v>
      </c>
      <c r="AG29">
        <f>SUM(AG16:AG20)</f>
        <v>684592</v>
      </c>
      <c r="AH29">
        <f>SUM(AG22:AG23)</f>
        <v>74336</v>
      </c>
      <c r="AL29" s="5" t="s">
        <v>0</v>
      </c>
      <c r="AM29" s="8">
        <f>SUM(C33:C53)</f>
        <v>35.5729166666666</v>
      </c>
      <c r="AN29" s="8">
        <f>SUM(H33:H53)</f>
        <v>224.18263888888879</v>
      </c>
      <c r="AO29" s="8">
        <f>N57</f>
        <v>180.70375000000001</v>
      </c>
      <c r="AP29" s="8">
        <f>T57</f>
        <v>123.42125</v>
      </c>
      <c r="AQ29" s="8">
        <f>Z57</f>
        <v>165.859375</v>
      </c>
      <c r="AR29" s="8">
        <f>AF57</f>
        <v>296.65625</v>
      </c>
      <c r="AS29" s="5">
        <f>SUM(AM29:AR29)</f>
        <v>1026.3961805555555</v>
      </c>
    </row>
    <row r="30" spans="1:45" x14ac:dyDescent="0.35">
      <c r="AL30" s="5" t="s">
        <v>41</v>
      </c>
      <c r="AM30" s="8">
        <f>SUM(E33:E53)</f>
        <v>33.349609374999936</v>
      </c>
      <c r="AN30" s="8">
        <f>SUM(J33:J53)</f>
        <v>209.82649739583326</v>
      </c>
      <c r="AO30" s="5">
        <f>P57</f>
        <v>169.32024739583335</v>
      </c>
      <c r="AP30" s="5">
        <f>V57</f>
        <v>115.31598307291667</v>
      </c>
      <c r="AQ30" s="5">
        <f>AB57</f>
        <v>154.86246744791669</v>
      </c>
      <c r="AR30" s="5">
        <f>AH57</f>
        <v>277.51399739583337</v>
      </c>
      <c r="AS30" s="5">
        <f>SUM(AM30:AR30)</f>
        <v>960.18880208333337</v>
      </c>
    </row>
    <row r="31" spans="1:45" x14ac:dyDescent="0.35">
      <c r="AL31" s="5" t="s">
        <v>1</v>
      </c>
      <c r="AM31" s="8" t="s">
        <v>140</v>
      </c>
      <c r="AN31" t="s">
        <v>141</v>
      </c>
      <c r="AO31" t="str">
        <f>R57</f>
        <v>957L 14S 09D 0.5OBL</v>
      </c>
      <c r="AP31" t="str">
        <f>X57</f>
        <v>654L 05S 10D</v>
      </c>
      <c r="AQ31" s="5" t="str">
        <f>AD57</f>
        <v>879L 02S 00D</v>
      </c>
      <c r="AR31" t="str">
        <f>AJ57</f>
        <v>1572L 05S 07D</v>
      </c>
      <c r="AS31" s="6" t="s">
        <v>341</v>
      </c>
    </row>
    <row r="32" spans="1:45" x14ac:dyDescent="0.35">
      <c r="C32" t="s">
        <v>39</v>
      </c>
      <c r="H32" t="s">
        <v>39</v>
      </c>
      <c r="O32" t="s">
        <v>39</v>
      </c>
      <c r="U32" t="s">
        <v>39</v>
      </c>
      <c r="AA32" t="s">
        <v>39</v>
      </c>
      <c r="AG32" t="s">
        <v>39</v>
      </c>
      <c r="AL32" s="5" t="s">
        <v>5</v>
      </c>
      <c r="AM32" s="5">
        <v>53</v>
      </c>
      <c r="AN32" s="5">
        <v>53</v>
      </c>
      <c r="AO32" s="5">
        <v>53</v>
      </c>
      <c r="AP32" s="5">
        <v>53</v>
      </c>
      <c r="AQ32" s="5">
        <v>53</v>
      </c>
      <c r="AR32" s="5">
        <v>53</v>
      </c>
      <c r="AS32" s="5"/>
    </row>
    <row r="33" spans="1:49" x14ac:dyDescent="0.35">
      <c r="A33" t="s">
        <v>36</v>
      </c>
      <c r="B33" t="s">
        <v>92</v>
      </c>
      <c r="C33">
        <v>6.125</v>
      </c>
      <c r="D33">
        <f>C33*72</f>
        <v>441</v>
      </c>
      <c r="E33">
        <f>C33*22.5/24</f>
        <v>5.7421875</v>
      </c>
      <c r="F33" t="s">
        <v>95</v>
      </c>
      <c r="G33" s="4" t="s">
        <v>98</v>
      </c>
      <c r="H33">
        <v>11.90625</v>
      </c>
      <c r="I33">
        <f t="shared" ref="I33:I42" si="1">H33*72</f>
        <v>857.25</v>
      </c>
      <c r="J33">
        <f>H33*22.25/24</f>
        <v>11.0380859375</v>
      </c>
      <c r="K33">
        <f t="shared" ref="K33:K42" si="2">H33*22.5/24</f>
        <v>11.162109375</v>
      </c>
      <c r="L33" t="s">
        <v>99</v>
      </c>
      <c r="M33" t="s">
        <v>155</v>
      </c>
      <c r="N33">
        <v>16.234375</v>
      </c>
      <c r="O33">
        <f t="shared" ref="O33:O45" si="3">N33*72</f>
        <v>1168.875</v>
      </c>
      <c r="P33">
        <f t="shared" ref="P33:P44" si="4">N33*22.5/24</f>
        <v>15.2197265625</v>
      </c>
      <c r="R33" t="s">
        <v>156</v>
      </c>
      <c r="S33" t="s">
        <v>199</v>
      </c>
      <c r="T33">
        <v>9.75</v>
      </c>
      <c r="U33">
        <f>T33*72</f>
        <v>702</v>
      </c>
      <c r="V33">
        <f>T33*22.25/24</f>
        <v>9.0390625</v>
      </c>
      <c r="W33">
        <f>T33*22.5/24</f>
        <v>9.140625</v>
      </c>
      <c r="X33" t="s">
        <v>200</v>
      </c>
      <c r="Y33" t="s">
        <v>242</v>
      </c>
      <c r="Z33">
        <v>8</v>
      </c>
      <c r="AA33">
        <f>Z33*72.125</f>
        <v>577</v>
      </c>
      <c r="AB33">
        <f>Z33*22.25/24</f>
        <v>7.416666666666667</v>
      </c>
      <c r="AC33">
        <f>Z33*22.5/24</f>
        <v>7.5</v>
      </c>
      <c r="AD33" t="s">
        <v>243</v>
      </c>
      <c r="AE33" t="s">
        <v>287</v>
      </c>
      <c r="AF33">
        <v>3.25</v>
      </c>
      <c r="AG33">
        <f>AF33*72</f>
        <v>234</v>
      </c>
      <c r="AH33">
        <f>AF33*22.5/24</f>
        <v>3.046875</v>
      </c>
      <c r="AI33">
        <f t="shared" ref="AI33:AI55" si="5">AF33*22.5/24</f>
        <v>3.046875</v>
      </c>
      <c r="AJ33" t="s">
        <v>288</v>
      </c>
    </row>
    <row r="34" spans="1:49" x14ac:dyDescent="0.35">
      <c r="A34" t="s">
        <v>36</v>
      </c>
      <c r="B34" t="s">
        <v>93</v>
      </c>
      <c r="C34">
        <v>15.0416666666666</v>
      </c>
      <c r="D34">
        <f>C34*72</f>
        <v>1082.9999999999952</v>
      </c>
      <c r="E34">
        <f>C34*22.5/24</f>
        <v>14.101562499999938</v>
      </c>
      <c r="F34" t="s">
        <v>97</v>
      </c>
      <c r="G34" s="4" t="s">
        <v>100</v>
      </c>
      <c r="H34">
        <v>11.125</v>
      </c>
      <c r="I34">
        <f t="shared" si="1"/>
        <v>801</v>
      </c>
      <c r="J34">
        <v>10.4296875</v>
      </c>
      <c r="K34">
        <f t="shared" si="2"/>
        <v>10.4296875</v>
      </c>
      <c r="L34" t="s">
        <v>101</v>
      </c>
      <c r="M34" t="s">
        <v>157</v>
      </c>
      <c r="N34">
        <v>17</v>
      </c>
      <c r="O34">
        <f>N34*72.125</f>
        <v>1226.125</v>
      </c>
      <c r="P34">
        <f t="shared" si="4"/>
        <v>15.9375</v>
      </c>
      <c r="R34" t="s">
        <v>158</v>
      </c>
      <c r="S34" t="s">
        <v>201</v>
      </c>
      <c r="T34">
        <v>3.375</v>
      </c>
      <c r="U34">
        <f>T34*72.125</f>
        <v>243.421875</v>
      </c>
      <c r="V34">
        <f>T34*22.5/24</f>
        <v>3.1640625</v>
      </c>
      <c r="W34">
        <f t="shared" ref="W34:W48" si="6">T34*22.5/24</f>
        <v>3.1640625</v>
      </c>
      <c r="X34" t="s">
        <v>202</v>
      </c>
      <c r="Y34" t="s">
        <v>244</v>
      </c>
      <c r="Z34">
        <v>13.15625</v>
      </c>
      <c r="AA34">
        <f>Z34*72</f>
        <v>947.25</v>
      </c>
      <c r="AB34">
        <f>Z34*22.5/24</f>
        <v>12.333984375</v>
      </c>
      <c r="AC34">
        <f t="shared" ref="AC34:AC49" si="7">Z34*22.5/24</f>
        <v>12.333984375</v>
      </c>
      <c r="AD34" t="s">
        <v>249</v>
      </c>
      <c r="AE34" t="s">
        <v>289</v>
      </c>
      <c r="AF34">
        <v>6.5</v>
      </c>
      <c r="AG34">
        <f>AF34*71.875</f>
        <v>467.1875</v>
      </c>
      <c r="AH34">
        <f>AF34*22.25/24</f>
        <v>6.026041666666667</v>
      </c>
      <c r="AI34">
        <f t="shared" si="5"/>
        <v>6.09375</v>
      </c>
      <c r="AJ34" t="s">
        <v>170</v>
      </c>
    </row>
    <row r="35" spans="1:49" x14ac:dyDescent="0.35">
      <c r="A35" t="s">
        <v>36</v>
      </c>
      <c r="B35" t="s">
        <v>94</v>
      </c>
      <c r="C35">
        <v>14.40625</v>
      </c>
      <c r="D35">
        <f>C35*72.25</f>
        <v>1040.8515625</v>
      </c>
      <c r="E35">
        <f>C35*22.5/24</f>
        <v>13.505859375</v>
      </c>
      <c r="F35" t="s">
        <v>96</v>
      </c>
      <c r="G35" s="4" t="s">
        <v>102</v>
      </c>
      <c r="H35">
        <v>22.4375</v>
      </c>
      <c r="I35">
        <f>H35*72.125</f>
        <v>1618.3046875</v>
      </c>
      <c r="J35">
        <v>21.03515625</v>
      </c>
      <c r="K35">
        <f t="shared" si="2"/>
        <v>21.03515625</v>
      </c>
      <c r="L35" t="s">
        <v>103</v>
      </c>
      <c r="M35" t="s">
        <v>159</v>
      </c>
      <c r="N35">
        <v>8.8125</v>
      </c>
      <c r="O35">
        <f t="shared" si="3"/>
        <v>634.5</v>
      </c>
      <c r="P35">
        <f t="shared" si="4"/>
        <v>8.26171875</v>
      </c>
      <c r="R35" t="s">
        <v>160</v>
      </c>
      <c r="S35" t="s">
        <v>203</v>
      </c>
      <c r="T35">
        <v>6.25</v>
      </c>
      <c r="U35">
        <f>T35*72</f>
        <v>450</v>
      </c>
      <c r="V35">
        <f>T35*22.5/24</f>
        <v>5.859375</v>
      </c>
      <c r="W35">
        <f t="shared" si="6"/>
        <v>5.859375</v>
      </c>
      <c r="X35" t="s">
        <v>204</v>
      </c>
      <c r="Y35" t="s">
        <v>245</v>
      </c>
      <c r="Z35">
        <v>8.3125</v>
      </c>
      <c r="AA35">
        <f>Z35*72.2</f>
        <v>600.16250000000002</v>
      </c>
      <c r="AB35">
        <f>Z35*22.5/24</f>
        <v>7.79296875</v>
      </c>
      <c r="AC35">
        <f t="shared" si="7"/>
        <v>7.79296875</v>
      </c>
      <c r="AD35" t="s">
        <v>246</v>
      </c>
      <c r="AE35" t="s">
        <v>290</v>
      </c>
      <c r="AF35">
        <v>7.015625</v>
      </c>
      <c r="AG35">
        <f>AF35*72</f>
        <v>505.125</v>
      </c>
      <c r="AH35">
        <f t="shared" ref="AH35:AH40" si="8">AF35*22.5/24</f>
        <v>6.5771484375</v>
      </c>
      <c r="AI35">
        <f t="shared" si="5"/>
        <v>6.5771484375</v>
      </c>
      <c r="AJ35" t="s">
        <v>291</v>
      </c>
    </row>
    <row r="36" spans="1:49" x14ac:dyDescent="0.35">
      <c r="A36" t="s">
        <v>36</v>
      </c>
      <c r="G36" s="4" t="s">
        <v>104</v>
      </c>
      <c r="H36">
        <v>8.28125</v>
      </c>
      <c r="I36">
        <f>H36*71.875</f>
        <v>595.21484375</v>
      </c>
      <c r="J36">
        <v>7.763671875</v>
      </c>
      <c r="K36">
        <f t="shared" si="2"/>
        <v>7.763671875</v>
      </c>
      <c r="L36" t="s">
        <v>105</v>
      </c>
      <c r="M36" t="s">
        <v>161</v>
      </c>
      <c r="N36">
        <v>15.8125</v>
      </c>
      <c r="O36">
        <f t="shared" si="3"/>
        <v>1138.5</v>
      </c>
      <c r="P36">
        <f t="shared" si="4"/>
        <v>14.82421875</v>
      </c>
      <c r="R36" t="s">
        <v>162</v>
      </c>
      <c r="S36" t="s">
        <v>205</v>
      </c>
      <c r="T36">
        <v>10.71875</v>
      </c>
      <c r="U36">
        <f>T36*72.2</f>
        <v>773.89375000000007</v>
      </c>
      <c r="V36">
        <f>T36*22.5/24</f>
        <v>10.048828125</v>
      </c>
      <c r="W36">
        <f t="shared" si="6"/>
        <v>10.048828125</v>
      </c>
      <c r="X36" t="s">
        <v>206</v>
      </c>
      <c r="Y36" t="s">
        <v>247</v>
      </c>
      <c r="Z36">
        <v>4.4375</v>
      </c>
      <c r="AA36">
        <f>Z36*72</f>
        <v>319.5</v>
      </c>
      <c r="AB36">
        <f>Z36*22.5/24</f>
        <v>4.16015625</v>
      </c>
      <c r="AC36">
        <f t="shared" si="7"/>
        <v>4.16015625</v>
      </c>
      <c r="AD36" t="s">
        <v>248</v>
      </c>
      <c r="AE36" t="s">
        <v>292</v>
      </c>
      <c r="AF36">
        <v>6.671875</v>
      </c>
      <c r="AG36">
        <f>AF36*72</f>
        <v>480.375</v>
      </c>
      <c r="AH36">
        <f t="shared" si="8"/>
        <v>6.2548828125</v>
      </c>
      <c r="AI36">
        <f t="shared" si="5"/>
        <v>6.2548828125</v>
      </c>
      <c r="AJ36" t="s">
        <v>293</v>
      </c>
    </row>
    <row r="37" spans="1:49" ht="58" x14ac:dyDescent="0.35">
      <c r="A37" t="s">
        <v>36</v>
      </c>
      <c r="G37" s="4" t="s">
        <v>107</v>
      </c>
      <c r="H37">
        <v>11.375</v>
      </c>
      <c r="I37">
        <f t="shared" si="1"/>
        <v>819</v>
      </c>
      <c r="J37">
        <v>10.6640625</v>
      </c>
      <c r="K37">
        <f t="shared" si="2"/>
        <v>10.6640625</v>
      </c>
      <c r="L37" t="s">
        <v>108</v>
      </c>
      <c r="M37" t="s">
        <v>149</v>
      </c>
      <c r="N37">
        <v>11</v>
      </c>
      <c r="O37">
        <f>N37*72.125</f>
        <v>793.375</v>
      </c>
      <c r="P37">
        <f t="shared" si="4"/>
        <v>10.3125</v>
      </c>
      <c r="R37" t="s">
        <v>163</v>
      </c>
      <c r="S37" t="s">
        <v>207</v>
      </c>
      <c r="T37">
        <v>9.89</v>
      </c>
      <c r="U37">
        <f>T37*72</f>
        <v>712.08</v>
      </c>
      <c r="V37">
        <f>T37*22.5/24</f>
        <v>9.2718749999999996</v>
      </c>
      <c r="W37">
        <f t="shared" si="6"/>
        <v>9.2718749999999996</v>
      </c>
      <c r="X37" t="s">
        <v>214</v>
      </c>
      <c r="Y37" t="s">
        <v>250</v>
      </c>
      <c r="Z37">
        <v>7.03125</v>
      </c>
      <c r="AA37">
        <f>Z37*72.125</f>
        <v>507.12890625</v>
      </c>
      <c r="AB37">
        <f>Z37*22.5/24</f>
        <v>6.591796875</v>
      </c>
      <c r="AC37">
        <f t="shared" si="7"/>
        <v>6.591796875</v>
      </c>
      <c r="AD37" t="s">
        <v>251</v>
      </c>
      <c r="AE37" t="s">
        <v>294</v>
      </c>
      <c r="AF37">
        <v>14.6875</v>
      </c>
      <c r="AG37">
        <f>AF37*72</f>
        <v>1057.5</v>
      </c>
      <c r="AH37">
        <f t="shared" si="8"/>
        <v>13.76953125</v>
      </c>
      <c r="AI37">
        <f t="shared" si="5"/>
        <v>13.76953125</v>
      </c>
      <c r="AJ37" t="s">
        <v>295</v>
      </c>
      <c r="AM37" s="12" t="s">
        <v>6</v>
      </c>
      <c r="AN37" s="12" t="s">
        <v>7</v>
      </c>
      <c r="AO37" s="12" t="s">
        <v>13</v>
      </c>
      <c r="AP37" s="12" t="s">
        <v>18</v>
      </c>
      <c r="AQ37" s="12" t="s">
        <v>20</v>
      </c>
      <c r="AR37" s="12" t="s">
        <v>25</v>
      </c>
      <c r="AS37" s="12" t="s">
        <v>28</v>
      </c>
    </row>
    <row r="38" spans="1:49" ht="29" x14ac:dyDescent="0.35">
      <c r="A38" t="s">
        <v>36</v>
      </c>
      <c r="G38" s="4" t="s">
        <v>109</v>
      </c>
      <c r="H38">
        <v>8.375</v>
      </c>
      <c r="I38">
        <f>H38*72.125</f>
        <v>604.046875</v>
      </c>
      <c r="J38">
        <v>7.8515625</v>
      </c>
      <c r="K38">
        <f t="shared" si="2"/>
        <v>7.8515625</v>
      </c>
      <c r="L38" t="s">
        <v>110</v>
      </c>
      <c r="M38" t="s">
        <v>164</v>
      </c>
      <c r="N38">
        <v>16.8125</v>
      </c>
      <c r="O38">
        <f>N38*72.125</f>
        <v>1212.6015625</v>
      </c>
      <c r="P38">
        <f t="shared" si="4"/>
        <v>15.76171875</v>
      </c>
      <c r="R38" t="s">
        <v>165</v>
      </c>
      <c r="S38" t="s">
        <v>208</v>
      </c>
      <c r="T38">
        <v>8.4375</v>
      </c>
      <c r="U38">
        <f>T38*72.25</f>
        <v>609.609375</v>
      </c>
      <c r="V38">
        <f>T38*22.5/24</f>
        <v>7.91015625</v>
      </c>
      <c r="W38">
        <f t="shared" si="6"/>
        <v>7.91015625</v>
      </c>
      <c r="X38" t="s">
        <v>209</v>
      </c>
      <c r="Y38" t="s">
        <v>252</v>
      </c>
      <c r="Z38">
        <v>11.90625</v>
      </c>
      <c r="AA38">
        <f>(Z38*72)+1</f>
        <v>858.25</v>
      </c>
      <c r="AB38">
        <f>Z38*22.25/24</f>
        <v>11.0380859375</v>
      </c>
      <c r="AC38">
        <f t="shared" si="7"/>
        <v>11.162109375</v>
      </c>
      <c r="AD38" t="s">
        <v>99</v>
      </c>
      <c r="AE38" t="s">
        <v>296</v>
      </c>
      <c r="AF38">
        <v>7.75</v>
      </c>
      <c r="AG38">
        <f>AF38*72</f>
        <v>558</v>
      </c>
      <c r="AH38">
        <f t="shared" si="8"/>
        <v>7.265625</v>
      </c>
      <c r="AI38">
        <f t="shared" si="5"/>
        <v>7.265625</v>
      </c>
      <c r="AJ38" t="s">
        <v>217</v>
      </c>
      <c r="AM38" s="13" t="s">
        <v>43</v>
      </c>
      <c r="AN38" s="12" t="s">
        <v>12</v>
      </c>
      <c r="AO38" s="12" t="s">
        <v>15</v>
      </c>
      <c r="AP38" s="9">
        <v>72</v>
      </c>
      <c r="AQ38" s="9" t="s">
        <v>24</v>
      </c>
      <c r="AR38" s="12" t="s">
        <v>30</v>
      </c>
      <c r="AS38" s="12" t="s">
        <v>30</v>
      </c>
    </row>
    <row r="39" spans="1:49" ht="43.5" x14ac:dyDescent="0.35">
      <c r="A39" t="s">
        <v>36</v>
      </c>
      <c r="G39" s="4" t="s">
        <v>111</v>
      </c>
      <c r="H39">
        <v>10.0625</v>
      </c>
      <c r="I39">
        <f>H39*72.25</f>
        <v>727.015625</v>
      </c>
      <c r="J39">
        <v>9.43359375</v>
      </c>
      <c r="K39">
        <f t="shared" si="2"/>
        <v>9.43359375</v>
      </c>
      <c r="L39" t="s">
        <v>112</v>
      </c>
      <c r="M39" t="s">
        <v>166</v>
      </c>
      <c r="N39">
        <v>10.094374999999999</v>
      </c>
      <c r="O39">
        <f t="shared" si="3"/>
        <v>726.79499999999996</v>
      </c>
      <c r="P39">
        <f t="shared" si="4"/>
        <v>9.4634765625000004</v>
      </c>
      <c r="R39" t="s">
        <v>171</v>
      </c>
      <c r="S39" t="s">
        <v>210</v>
      </c>
      <c r="T39">
        <v>14.953125</v>
      </c>
      <c r="U39">
        <f>(T39*72)-1.5</f>
        <v>1075.125</v>
      </c>
      <c r="V39">
        <f>T39*22.25/24</f>
        <v>13.86279296875</v>
      </c>
      <c r="W39">
        <f t="shared" si="6"/>
        <v>14.0185546875</v>
      </c>
      <c r="X39" t="s">
        <v>211</v>
      </c>
      <c r="Y39" t="s">
        <v>253</v>
      </c>
      <c r="Z39">
        <v>19.0625</v>
      </c>
      <c r="AA39">
        <f>(Z39*72)+2</f>
        <v>1374.5</v>
      </c>
      <c r="AB39">
        <f>Z39*22.5/24</f>
        <v>17.87109375</v>
      </c>
      <c r="AC39">
        <f t="shared" si="7"/>
        <v>17.87109375</v>
      </c>
      <c r="AD39" t="s">
        <v>254</v>
      </c>
      <c r="AE39" t="s">
        <v>297</v>
      </c>
      <c r="AF39">
        <v>16.875</v>
      </c>
      <c r="AG39">
        <f>(AF39*72)-1</f>
        <v>1214</v>
      </c>
      <c r="AH39">
        <f t="shared" si="8"/>
        <v>15.8203125</v>
      </c>
      <c r="AI39">
        <f t="shared" si="5"/>
        <v>15.8203125</v>
      </c>
      <c r="AJ39" t="s">
        <v>298</v>
      </c>
      <c r="AM39" s="20" t="s">
        <v>353</v>
      </c>
      <c r="AN39" s="17" t="s">
        <v>44</v>
      </c>
      <c r="AO39" s="17" t="s">
        <v>45</v>
      </c>
      <c r="AP39" s="18">
        <v>72</v>
      </c>
      <c r="AQ39" s="18" t="s">
        <v>24</v>
      </c>
      <c r="AR39" s="17" t="s">
        <v>30</v>
      </c>
      <c r="AS39" s="12" t="s">
        <v>30</v>
      </c>
    </row>
    <row r="40" spans="1:49" ht="29" x14ac:dyDescent="0.35">
      <c r="A40" t="s">
        <v>36</v>
      </c>
      <c r="G40" s="4" t="s">
        <v>113</v>
      </c>
      <c r="H40">
        <v>18.875</v>
      </c>
      <c r="I40">
        <f>H40*72.125</f>
        <v>1361.359375</v>
      </c>
      <c r="J40">
        <v>17.6953125</v>
      </c>
      <c r="K40">
        <f t="shared" si="2"/>
        <v>17.6953125</v>
      </c>
      <c r="L40" t="s">
        <v>114</v>
      </c>
      <c r="M40" t="s">
        <v>167</v>
      </c>
      <c r="N40">
        <v>11.4375</v>
      </c>
      <c r="O40">
        <f t="shared" si="3"/>
        <v>823.5</v>
      </c>
      <c r="P40">
        <f t="shared" si="4"/>
        <v>10.72265625</v>
      </c>
      <c r="R40" t="s">
        <v>168</v>
      </c>
      <c r="S40" t="s">
        <v>212</v>
      </c>
      <c r="T40">
        <v>3.5</v>
      </c>
      <c r="U40">
        <f>T40*72</f>
        <v>252</v>
      </c>
      <c r="V40">
        <f t="shared" ref="V40:V45" si="9">T40*22.5/24</f>
        <v>3.28125</v>
      </c>
      <c r="W40">
        <f t="shared" si="6"/>
        <v>3.28125</v>
      </c>
      <c r="X40" t="s">
        <v>213</v>
      </c>
      <c r="Y40" t="s">
        <v>255</v>
      </c>
      <c r="Z40">
        <v>16.125</v>
      </c>
      <c r="AA40">
        <f>(Z40*72)-1</f>
        <v>1160</v>
      </c>
      <c r="AB40">
        <f>Z40*22.25/24</f>
        <v>14.94921875</v>
      </c>
      <c r="AC40">
        <f t="shared" si="7"/>
        <v>15.1171875</v>
      </c>
      <c r="AD40" t="s">
        <v>256</v>
      </c>
      <c r="AE40" t="s">
        <v>299</v>
      </c>
      <c r="AF40">
        <v>26.6875</v>
      </c>
      <c r="AG40">
        <f>(AF40*72)+2.5</f>
        <v>1924</v>
      </c>
      <c r="AH40">
        <f t="shared" si="8"/>
        <v>25.01953125</v>
      </c>
      <c r="AI40">
        <f t="shared" si="5"/>
        <v>25.01953125</v>
      </c>
      <c r="AJ40" t="s">
        <v>300</v>
      </c>
      <c r="AM40" s="12" t="s">
        <v>46</v>
      </c>
      <c r="AN40" s="12" t="s">
        <v>10</v>
      </c>
      <c r="AO40" s="12" t="s">
        <v>14</v>
      </c>
      <c r="AP40" s="9">
        <v>88</v>
      </c>
      <c r="AQ40" s="14" t="s">
        <v>19</v>
      </c>
      <c r="AR40" s="12" t="s">
        <v>27</v>
      </c>
      <c r="AS40" s="12" t="s">
        <v>29</v>
      </c>
    </row>
    <row r="41" spans="1:49" ht="29" x14ac:dyDescent="0.35">
      <c r="A41" t="s">
        <v>36</v>
      </c>
      <c r="G41" s="4" t="s">
        <v>115</v>
      </c>
      <c r="H41">
        <v>11.5625</v>
      </c>
      <c r="I41">
        <f t="shared" si="1"/>
        <v>832.5</v>
      </c>
      <c r="J41">
        <v>10.83984375</v>
      </c>
      <c r="K41">
        <f t="shared" si="2"/>
        <v>10.83984375</v>
      </c>
      <c r="L41" t="s">
        <v>116</v>
      </c>
      <c r="M41" t="s">
        <v>169</v>
      </c>
      <c r="N41">
        <v>6.5</v>
      </c>
      <c r="O41">
        <f t="shared" si="3"/>
        <v>468</v>
      </c>
      <c r="P41">
        <f t="shared" si="4"/>
        <v>6.09375</v>
      </c>
      <c r="R41" t="s">
        <v>170</v>
      </c>
      <c r="S41" t="s">
        <v>215</v>
      </c>
      <c r="T41">
        <v>7.671875</v>
      </c>
      <c r="U41">
        <f>(T41*72)+1</f>
        <v>553.375</v>
      </c>
      <c r="V41">
        <f t="shared" si="9"/>
        <v>7.1923828125</v>
      </c>
      <c r="W41">
        <f t="shared" si="6"/>
        <v>7.1923828125</v>
      </c>
      <c r="X41" t="s">
        <v>216</v>
      </c>
      <c r="Y41" t="s">
        <v>257</v>
      </c>
      <c r="Z41">
        <v>9.5625</v>
      </c>
      <c r="AA41">
        <f>Z41*72.125</f>
        <v>689.6953125</v>
      </c>
      <c r="AB41">
        <f>Z41*22.5/24</f>
        <v>8.96484375</v>
      </c>
      <c r="AC41">
        <f t="shared" si="7"/>
        <v>8.96484375</v>
      </c>
      <c r="AD41" t="s">
        <v>258</v>
      </c>
      <c r="AE41" t="s">
        <v>301</v>
      </c>
      <c r="AF41">
        <v>28.71875</v>
      </c>
      <c r="AG41">
        <f>(AF41*72)+3.5</f>
        <v>2071.25</v>
      </c>
      <c r="AH41">
        <f>AF41*22.25/24</f>
        <v>26.624674479166668</v>
      </c>
      <c r="AI41">
        <f t="shared" si="5"/>
        <v>26.923828125</v>
      </c>
      <c r="AJ41" t="s">
        <v>302</v>
      </c>
      <c r="AM41" s="12" t="s">
        <v>47</v>
      </c>
      <c r="AN41" s="12" t="s">
        <v>11</v>
      </c>
      <c r="AO41" s="12" t="s">
        <v>14</v>
      </c>
      <c r="AP41" s="9">
        <v>176</v>
      </c>
      <c r="AQ41" s="14" t="s">
        <v>21</v>
      </c>
      <c r="AR41" s="12" t="s">
        <v>27</v>
      </c>
      <c r="AS41" s="12" t="s">
        <v>31</v>
      </c>
    </row>
    <row r="42" spans="1:49" ht="43.5" x14ac:dyDescent="0.35">
      <c r="A42" t="s">
        <v>36</v>
      </c>
      <c r="G42" s="4" t="s">
        <v>117</v>
      </c>
      <c r="H42">
        <v>6.3875000000000002</v>
      </c>
      <c r="I42">
        <f t="shared" si="1"/>
        <v>459.90000000000003</v>
      </c>
      <c r="J42">
        <v>5.98828125</v>
      </c>
      <c r="K42">
        <f t="shared" si="2"/>
        <v>5.98828125</v>
      </c>
      <c r="L42" t="s">
        <v>118</v>
      </c>
      <c r="M42" t="s">
        <v>172</v>
      </c>
      <c r="N42">
        <v>12.84375</v>
      </c>
      <c r="O42">
        <f>(N42*72)-2</f>
        <v>922.75</v>
      </c>
      <c r="P42">
        <f t="shared" si="4"/>
        <v>12.041015625</v>
      </c>
      <c r="R42" t="s">
        <v>173</v>
      </c>
      <c r="S42" t="s">
        <v>197</v>
      </c>
      <c r="T42">
        <v>7.75</v>
      </c>
      <c r="U42">
        <f>(T42*72)</f>
        <v>558</v>
      </c>
      <c r="V42">
        <f t="shared" si="9"/>
        <v>7.265625</v>
      </c>
      <c r="W42">
        <f t="shared" si="6"/>
        <v>7.265625</v>
      </c>
      <c r="X42" t="s">
        <v>217</v>
      </c>
      <c r="Y42" t="s">
        <v>259</v>
      </c>
      <c r="Z42">
        <v>6.125</v>
      </c>
      <c r="AA42">
        <f>(Z42*72)+1</f>
        <v>442</v>
      </c>
      <c r="AB42">
        <f>Z42*22.5/24</f>
        <v>5.7421875</v>
      </c>
      <c r="AC42">
        <f t="shared" si="7"/>
        <v>5.7421875</v>
      </c>
      <c r="AD42" t="s">
        <v>95</v>
      </c>
      <c r="AE42" t="s">
        <v>303</v>
      </c>
      <c r="AF42">
        <v>17.75</v>
      </c>
      <c r="AG42">
        <f>(AF42*72)</f>
        <v>1278</v>
      </c>
      <c r="AH42">
        <f>AF42*22.5/24</f>
        <v>16.640625</v>
      </c>
      <c r="AI42">
        <f t="shared" si="5"/>
        <v>16.640625</v>
      </c>
      <c r="AJ42" t="s">
        <v>304</v>
      </c>
      <c r="AM42" s="12" t="s">
        <v>48</v>
      </c>
      <c r="AN42" s="12" t="s">
        <v>8</v>
      </c>
      <c r="AO42" s="12" t="s">
        <v>16</v>
      </c>
      <c r="AP42" s="9">
        <v>256</v>
      </c>
      <c r="AQ42" s="14" t="s">
        <v>22</v>
      </c>
      <c r="AR42" s="12" t="s">
        <v>26</v>
      </c>
      <c r="AS42" s="12" t="s">
        <v>52</v>
      </c>
    </row>
    <row r="43" spans="1:49" ht="43.5" x14ac:dyDescent="0.35">
      <c r="A43" t="s">
        <v>36</v>
      </c>
      <c r="G43" s="4" t="s">
        <v>119</v>
      </c>
      <c r="H43">
        <v>21.1875</v>
      </c>
      <c r="I43">
        <f>H43*71.875</f>
        <v>1522.8515625</v>
      </c>
      <c r="J43">
        <v>19.642578125</v>
      </c>
      <c r="K43">
        <f>H43*22.25/24</f>
        <v>19.642578125</v>
      </c>
      <c r="L43" t="s">
        <v>120</v>
      </c>
      <c r="M43" t="s">
        <v>174</v>
      </c>
      <c r="N43">
        <v>6.5625</v>
      </c>
      <c r="O43">
        <f>N43*72.25</f>
        <v>474.140625</v>
      </c>
      <c r="P43">
        <f t="shared" si="4"/>
        <v>6.15234375</v>
      </c>
      <c r="R43" t="s">
        <v>175</v>
      </c>
      <c r="S43" t="s">
        <v>218</v>
      </c>
      <c r="T43">
        <v>7.90625</v>
      </c>
      <c r="U43">
        <f>(T43*72)</f>
        <v>569.25</v>
      </c>
      <c r="V43">
        <f t="shared" si="9"/>
        <v>7.412109375</v>
      </c>
      <c r="W43">
        <f t="shared" si="6"/>
        <v>7.412109375</v>
      </c>
      <c r="X43" t="s">
        <v>219</v>
      </c>
      <c r="Y43" t="s">
        <v>231</v>
      </c>
      <c r="Z43">
        <v>12.484375</v>
      </c>
      <c r="AA43">
        <f>(Z43*72)+2</f>
        <v>900.875</v>
      </c>
      <c r="AB43">
        <f>Z43*22.25/24</f>
        <v>11.574055989583334</v>
      </c>
      <c r="AC43">
        <f t="shared" si="7"/>
        <v>11.7041015625</v>
      </c>
      <c r="AD43" t="s">
        <v>260</v>
      </c>
      <c r="AE43" t="s">
        <v>305</v>
      </c>
      <c r="AF43">
        <v>10.5</v>
      </c>
      <c r="AG43">
        <f>(AF43*72)+1</f>
        <v>757</v>
      </c>
      <c r="AH43">
        <f>AF43*22.5/24</f>
        <v>9.84375</v>
      </c>
      <c r="AI43">
        <f t="shared" si="5"/>
        <v>9.84375</v>
      </c>
      <c r="AJ43" t="s">
        <v>306</v>
      </c>
      <c r="AM43" s="17" t="s">
        <v>354</v>
      </c>
      <c r="AN43" s="17" t="s">
        <v>8</v>
      </c>
      <c r="AO43" s="17" t="s">
        <v>50</v>
      </c>
      <c r="AP43" s="18">
        <v>256</v>
      </c>
      <c r="AQ43" s="19" t="s">
        <v>22</v>
      </c>
      <c r="AR43" s="17" t="s">
        <v>26</v>
      </c>
      <c r="AS43" s="12" t="s">
        <v>351</v>
      </c>
    </row>
    <row r="44" spans="1:49" ht="58" x14ac:dyDescent="0.35">
      <c r="A44" t="s">
        <v>36</v>
      </c>
      <c r="G44" s="4" t="s">
        <v>121</v>
      </c>
      <c r="H44">
        <v>11.46875</v>
      </c>
      <c r="I44">
        <f>H44*72.25</f>
        <v>828.6171875</v>
      </c>
      <c r="J44">
        <v>10.751953125</v>
      </c>
      <c r="K44">
        <f t="shared" ref="K44:K53" si="10">H44*22.5/24</f>
        <v>10.751953125</v>
      </c>
      <c r="L44" t="s">
        <v>127</v>
      </c>
      <c r="M44" t="s">
        <v>176</v>
      </c>
      <c r="N44">
        <v>13.875</v>
      </c>
      <c r="O44">
        <f t="shared" si="3"/>
        <v>999</v>
      </c>
      <c r="P44">
        <f t="shared" si="4"/>
        <v>13.0078125</v>
      </c>
      <c r="R44" t="s">
        <v>177</v>
      </c>
      <c r="S44" t="s">
        <v>220</v>
      </c>
      <c r="T44">
        <v>3.84375</v>
      </c>
      <c r="U44">
        <f>(T44*72)</f>
        <v>276.75</v>
      </c>
      <c r="V44">
        <f t="shared" si="9"/>
        <v>3.603515625</v>
      </c>
      <c r="W44">
        <f t="shared" si="6"/>
        <v>3.603515625</v>
      </c>
      <c r="X44" t="s">
        <v>221</v>
      </c>
      <c r="Y44" t="s">
        <v>261</v>
      </c>
      <c r="Z44">
        <v>9.59375</v>
      </c>
      <c r="AA44">
        <f>(Z44*72)+1</f>
        <v>691.75</v>
      </c>
      <c r="AB44">
        <f>Z44*22.5/24</f>
        <v>8.994140625</v>
      </c>
      <c r="AC44">
        <f t="shared" si="7"/>
        <v>8.994140625</v>
      </c>
      <c r="AD44" t="s">
        <v>262</v>
      </c>
      <c r="AE44" t="s">
        <v>307</v>
      </c>
      <c r="AF44">
        <v>10.46875</v>
      </c>
      <c r="AG44">
        <f>(AF44*72)</f>
        <v>753.75</v>
      </c>
      <c r="AH44">
        <f>AF44*22.5/24</f>
        <v>9.814453125</v>
      </c>
      <c r="AI44">
        <f t="shared" si="5"/>
        <v>9.814453125</v>
      </c>
      <c r="AJ44" t="s">
        <v>308</v>
      </c>
      <c r="AM44" s="12" t="s">
        <v>49</v>
      </c>
      <c r="AN44" s="12" t="s">
        <v>9</v>
      </c>
      <c r="AO44" s="12" t="s">
        <v>17</v>
      </c>
      <c r="AP44" s="8">
        <v>352</v>
      </c>
      <c r="AQ44" s="14" t="s">
        <v>23</v>
      </c>
      <c r="AR44" s="12" t="s">
        <v>26</v>
      </c>
      <c r="AS44" s="12" t="s">
        <v>51</v>
      </c>
    </row>
    <row r="45" spans="1:49" ht="58" x14ac:dyDescent="0.35">
      <c r="A45" t="s">
        <v>36</v>
      </c>
      <c r="G45" s="4" t="s">
        <v>122</v>
      </c>
      <c r="H45">
        <v>5.875</v>
      </c>
      <c r="I45">
        <f>H45*72</f>
        <v>423</v>
      </c>
      <c r="J45">
        <v>5.5078125</v>
      </c>
      <c r="K45">
        <f t="shared" si="10"/>
        <v>5.5078125</v>
      </c>
      <c r="L45" t="s">
        <v>123</v>
      </c>
      <c r="M45" t="s">
        <v>178</v>
      </c>
      <c r="N45">
        <v>8.59375</v>
      </c>
      <c r="O45">
        <f t="shared" si="3"/>
        <v>618.75</v>
      </c>
      <c r="P45">
        <f>N45*22.25/24</f>
        <v>7.967122395833333</v>
      </c>
      <c r="R45" t="s">
        <v>180</v>
      </c>
      <c r="S45" t="s">
        <v>222</v>
      </c>
      <c r="T45">
        <v>6.5</v>
      </c>
      <c r="U45">
        <f>(T45*72)+1</f>
        <v>469</v>
      </c>
      <c r="V45">
        <f t="shared" si="9"/>
        <v>6.09375</v>
      </c>
      <c r="W45">
        <f t="shared" si="6"/>
        <v>6.09375</v>
      </c>
      <c r="X45" t="s">
        <v>170</v>
      </c>
      <c r="Y45" t="s">
        <v>264</v>
      </c>
      <c r="Z45">
        <v>10.21875</v>
      </c>
      <c r="AA45">
        <f>(Z45*72)</f>
        <v>735.75</v>
      </c>
      <c r="AB45">
        <f>Z45*22.5/24</f>
        <v>9.580078125</v>
      </c>
      <c r="AC45">
        <f t="shared" si="7"/>
        <v>9.580078125</v>
      </c>
      <c r="AD45" t="s">
        <v>263</v>
      </c>
      <c r="AE45" t="s">
        <v>309</v>
      </c>
      <c r="AF45">
        <v>15.375</v>
      </c>
      <c r="AG45">
        <f>(AF45*72)</f>
        <v>1107</v>
      </c>
      <c r="AH45">
        <f>AF45*22.25/24</f>
        <v>14.25390625</v>
      </c>
      <c r="AI45">
        <f t="shared" si="5"/>
        <v>14.4140625</v>
      </c>
      <c r="AJ45" t="s">
        <v>310</v>
      </c>
      <c r="AM45" s="17" t="s">
        <v>355</v>
      </c>
      <c r="AN45" s="17" t="s">
        <v>9</v>
      </c>
      <c r="AO45" s="17" t="s">
        <v>53</v>
      </c>
      <c r="AP45" s="21">
        <v>352</v>
      </c>
      <c r="AQ45" s="19" t="s">
        <v>23</v>
      </c>
      <c r="AR45" s="17" t="s">
        <v>26</v>
      </c>
      <c r="AS45" s="12" t="s">
        <v>352</v>
      </c>
    </row>
    <row r="46" spans="1:49" x14ac:dyDescent="0.35">
      <c r="A46" t="s">
        <v>36</v>
      </c>
      <c r="G46" s="4" t="s">
        <v>124</v>
      </c>
      <c r="H46">
        <v>5.8125</v>
      </c>
      <c r="I46">
        <f>H46*72.25</f>
        <v>419.953125</v>
      </c>
      <c r="J46">
        <v>5.44921875</v>
      </c>
      <c r="K46">
        <f t="shared" si="10"/>
        <v>5.44921875</v>
      </c>
      <c r="L46" t="s">
        <v>125</v>
      </c>
      <c r="M46" t="s">
        <v>179</v>
      </c>
      <c r="N46">
        <v>15.0625</v>
      </c>
      <c r="O46">
        <f>N46*72.25</f>
        <v>1088.265625</v>
      </c>
      <c r="P46">
        <f>N46*22.5/24</f>
        <v>14.12109375</v>
      </c>
      <c r="R46" t="s">
        <v>182</v>
      </c>
      <c r="S46" t="s">
        <v>223</v>
      </c>
      <c r="T46">
        <v>3.96875</v>
      </c>
      <c r="U46">
        <f>(T46*72)</f>
        <v>285.75</v>
      </c>
      <c r="V46">
        <f>T46*22.25/24</f>
        <v>3.6793619791666665</v>
      </c>
      <c r="W46">
        <f t="shared" si="6"/>
        <v>3.720703125</v>
      </c>
      <c r="X46" t="s">
        <v>224</v>
      </c>
      <c r="Y46" t="s">
        <v>265</v>
      </c>
      <c r="Z46">
        <v>5.6875</v>
      </c>
      <c r="AA46">
        <f>(Z46*72)+1</f>
        <v>410.5</v>
      </c>
      <c r="AB46">
        <f>Z46*22.25/24</f>
        <v>5.272786458333333</v>
      </c>
      <c r="AC46">
        <f t="shared" si="7"/>
        <v>5.33203125</v>
      </c>
      <c r="AD46" t="s">
        <v>266</v>
      </c>
      <c r="AE46" t="s">
        <v>311</v>
      </c>
      <c r="AF46">
        <v>7.78125</v>
      </c>
      <c r="AG46">
        <f>(AF46*72)</f>
        <v>560.25</v>
      </c>
      <c r="AH46">
        <f>AF46*22.5/24</f>
        <v>7.294921875</v>
      </c>
      <c r="AI46">
        <f t="shared" si="5"/>
        <v>7.294921875</v>
      </c>
      <c r="AJ46" t="s">
        <v>312</v>
      </c>
      <c r="AM46" s="22"/>
      <c r="AN46" s="22"/>
      <c r="AO46" s="22"/>
      <c r="AP46" s="22"/>
      <c r="AQ46" s="22"/>
      <c r="AR46" s="22"/>
      <c r="AS46" s="22"/>
      <c r="AT46" s="23"/>
      <c r="AU46" s="24"/>
      <c r="AV46" s="22"/>
      <c r="AW46" s="25"/>
    </row>
    <row r="47" spans="1:49" x14ac:dyDescent="0.35">
      <c r="A47" t="s">
        <v>36</v>
      </c>
      <c r="G47" s="4" t="s">
        <v>126</v>
      </c>
      <c r="H47">
        <v>6.21875</v>
      </c>
      <c r="I47">
        <f>H47*72</f>
        <v>447.75</v>
      </c>
      <c r="J47">
        <v>5.830078125</v>
      </c>
      <c r="K47">
        <f t="shared" si="10"/>
        <v>5.830078125</v>
      </c>
      <c r="L47" t="s">
        <v>128</v>
      </c>
      <c r="M47" t="s">
        <v>151</v>
      </c>
      <c r="N47">
        <v>10.0625</v>
      </c>
      <c r="O47">
        <f>N47*72.125</f>
        <v>725.7578125</v>
      </c>
      <c r="P47">
        <f>N47*22.5/24</f>
        <v>9.43359375</v>
      </c>
      <c r="R47" t="s">
        <v>181</v>
      </c>
      <c r="S47" t="s">
        <v>225</v>
      </c>
      <c r="T47">
        <v>10</v>
      </c>
      <c r="U47">
        <f>(T47*72)</f>
        <v>720</v>
      </c>
      <c r="V47">
        <f>T47*22.5/24</f>
        <v>9.375</v>
      </c>
      <c r="W47">
        <f t="shared" si="6"/>
        <v>9.375</v>
      </c>
      <c r="X47" t="s">
        <v>136</v>
      </c>
      <c r="Y47" t="s">
        <v>267</v>
      </c>
      <c r="Z47">
        <v>6.34375</v>
      </c>
      <c r="AA47">
        <f>(Z47*72)</f>
        <v>456.75</v>
      </c>
      <c r="AB47">
        <f>Z47*22.25/24</f>
        <v>5.881184895833333</v>
      </c>
      <c r="AC47">
        <f t="shared" si="7"/>
        <v>5.947265625</v>
      </c>
      <c r="AD47" t="s">
        <v>268</v>
      </c>
      <c r="AE47" t="s">
        <v>313</v>
      </c>
      <c r="AF47">
        <v>9.6875</v>
      </c>
      <c r="AG47">
        <f>(AF47*72.125)</f>
        <v>698.7109375</v>
      </c>
      <c r="AH47">
        <f>AF47*22.5/24</f>
        <v>9.08203125</v>
      </c>
      <c r="AI47">
        <f t="shared" si="5"/>
        <v>9.08203125</v>
      </c>
      <c r="AJ47" t="s">
        <v>314</v>
      </c>
      <c r="AM47" s="22"/>
      <c r="AN47" s="22"/>
      <c r="AO47" s="22"/>
      <c r="AP47" s="22"/>
      <c r="AQ47" s="22"/>
      <c r="AR47" s="22"/>
      <c r="AS47" s="22"/>
      <c r="AT47" s="23"/>
      <c r="AU47" s="24"/>
      <c r="AV47" s="22"/>
      <c r="AW47" s="25"/>
    </row>
    <row r="48" spans="1:49" x14ac:dyDescent="0.35">
      <c r="A48" t="s">
        <v>36</v>
      </c>
      <c r="G48" s="4" t="s">
        <v>129</v>
      </c>
      <c r="H48">
        <v>3.34375</v>
      </c>
      <c r="I48">
        <f>H48*72.125</f>
        <v>241.16796875</v>
      </c>
      <c r="J48">
        <v>3.134765625</v>
      </c>
      <c r="K48">
        <f t="shared" si="10"/>
        <v>3.134765625</v>
      </c>
      <c r="L48" t="s">
        <v>130</v>
      </c>
      <c r="S48" t="s">
        <v>226</v>
      </c>
      <c r="T48">
        <v>8.90625</v>
      </c>
      <c r="U48">
        <f>(T48*72)+1</f>
        <v>642.25</v>
      </c>
      <c r="V48">
        <f>T48*22.25/24</f>
        <v>8.2568359375</v>
      </c>
      <c r="W48">
        <f t="shared" si="6"/>
        <v>8.349609375</v>
      </c>
      <c r="X48" t="s">
        <v>227</v>
      </c>
      <c r="Y48" t="s">
        <v>269</v>
      </c>
      <c r="Z48">
        <v>9.59375</v>
      </c>
      <c r="AA48">
        <f>(Z48*72)+1</f>
        <v>691.75</v>
      </c>
      <c r="AB48">
        <f>Z48*22.5/24</f>
        <v>8.994140625</v>
      </c>
      <c r="AC48">
        <f t="shared" si="7"/>
        <v>8.994140625</v>
      </c>
      <c r="AD48" t="s">
        <v>262</v>
      </c>
      <c r="AE48" t="s">
        <v>315</v>
      </c>
      <c r="AF48">
        <v>7.125</v>
      </c>
      <c r="AG48">
        <f>(AF48*72)</f>
        <v>513</v>
      </c>
      <c r="AH48">
        <f>AF48*22.25/24</f>
        <v>6.60546875</v>
      </c>
      <c r="AI48">
        <f t="shared" si="5"/>
        <v>6.6796875</v>
      </c>
      <c r="AJ48" t="s">
        <v>316</v>
      </c>
      <c r="AM48" s="22"/>
      <c r="AN48" s="22"/>
      <c r="AO48" s="22"/>
      <c r="AP48" s="22"/>
      <c r="AQ48" s="22"/>
      <c r="AR48" s="22"/>
      <c r="AS48" s="22"/>
      <c r="AT48" s="23"/>
      <c r="AU48" s="24"/>
      <c r="AV48" s="22"/>
      <c r="AW48" s="25"/>
    </row>
    <row r="49" spans="1:49" x14ac:dyDescent="0.35">
      <c r="A49" t="s">
        <v>36</v>
      </c>
      <c r="G49" s="4" t="s">
        <v>131</v>
      </c>
      <c r="H49">
        <v>9.25</v>
      </c>
      <c r="I49">
        <f>H49*72.25</f>
        <v>668.3125</v>
      </c>
      <c r="J49">
        <v>8.671875</v>
      </c>
      <c r="K49">
        <f t="shared" si="10"/>
        <v>8.671875</v>
      </c>
      <c r="L49" t="s">
        <v>132</v>
      </c>
      <c r="Y49" t="s">
        <v>270</v>
      </c>
      <c r="Z49">
        <v>8.21875</v>
      </c>
      <c r="AA49">
        <f>Z49*72.125</f>
        <v>592.77734375</v>
      </c>
      <c r="AB49">
        <f>Z49*22.5/24</f>
        <v>7.705078125</v>
      </c>
      <c r="AC49">
        <f t="shared" si="7"/>
        <v>7.705078125</v>
      </c>
      <c r="AD49" t="s">
        <v>271</v>
      </c>
      <c r="AE49" t="s">
        <v>317</v>
      </c>
      <c r="AF49">
        <v>11.90625</v>
      </c>
      <c r="AG49">
        <f>(AF49*72)-0.5</f>
        <v>856.75</v>
      </c>
      <c r="AH49">
        <f t="shared" ref="AH49:AH55" si="11">AF49*22.5/24</f>
        <v>11.162109375</v>
      </c>
      <c r="AI49">
        <f t="shared" si="5"/>
        <v>11.162109375</v>
      </c>
      <c r="AJ49" t="s">
        <v>99</v>
      </c>
      <c r="AM49" s="22"/>
      <c r="AN49" s="22"/>
      <c r="AO49" s="22"/>
      <c r="AP49" s="22"/>
      <c r="AQ49" s="22"/>
      <c r="AR49" s="22"/>
      <c r="AS49" s="22"/>
      <c r="AT49" s="23"/>
      <c r="AU49" s="24"/>
      <c r="AV49" s="22"/>
      <c r="AW49" s="25"/>
    </row>
    <row r="50" spans="1:49" x14ac:dyDescent="0.35">
      <c r="A50" t="s">
        <v>36</v>
      </c>
      <c r="G50" s="4" t="s">
        <v>133</v>
      </c>
      <c r="H50">
        <v>10.625</v>
      </c>
      <c r="I50">
        <f>H50*72</f>
        <v>765</v>
      </c>
      <c r="J50">
        <v>9.9609375</v>
      </c>
      <c r="K50">
        <f t="shared" si="10"/>
        <v>9.9609375</v>
      </c>
      <c r="L50" t="s">
        <v>134</v>
      </c>
      <c r="AE50" t="s">
        <v>318</v>
      </c>
      <c r="AF50">
        <v>17.625</v>
      </c>
      <c r="AG50">
        <f>(AF50*72)</f>
        <v>1269</v>
      </c>
      <c r="AH50">
        <f t="shared" si="11"/>
        <v>16.5234375</v>
      </c>
      <c r="AI50">
        <f t="shared" si="5"/>
        <v>16.5234375</v>
      </c>
      <c r="AJ50" t="s">
        <v>319</v>
      </c>
      <c r="AM50" s="22"/>
      <c r="AN50" s="22"/>
      <c r="AO50" s="22"/>
      <c r="AP50" s="22"/>
      <c r="AQ50" s="22"/>
      <c r="AR50" s="22"/>
      <c r="AS50" s="22"/>
      <c r="AT50" s="23"/>
      <c r="AU50" s="24"/>
      <c r="AV50" s="22"/>
      <c r="AW50" s="25"/>
    </row>
    <row r="51" spans="1:49" x14ac:dyDescent="0.35">
      <c r="A51" t="s">
        <v>36</v>
      </c>
      <c r="G51" s="4" t="s">
        <v>135</v>
      </c>
      <c r="H51">
        <v>10</v>
      </c>
      <c r="I51">
        <f>H51*72</f>
        <v>720</v>
      </c>
      <c r="J51">
        <v>9.375</v>
      </c>
      <c r="K51">
        <f t="shared" si="10"/>
        <v>9.375</v>
      </c>
      <c r="L51" t="s">
        <v>136</v>
      </c>
      <c r="AE51" t="s">
        <v>320</v>
      </c>
      <c r="AF51">
        <v>11.8125</v>
      </c>
      <c r="AG51">
        <f>(AF51*72)+2</f>
        <v>852.5</v>
      </c>
      <c r="AH51">
        <f t="shared" si="11"/>
        <v>11.07421875</v>
      </c>
      <c r="AI51">
        <f t="shared" si="5"/>
        <v>11.07421875</v>
      </c>
      <c r="AJ51" t="s">
        <v>321</v>
      </c>
      <c r="AM51" s="22"/>
      <c r="AN51" s="22"/>
      <c r="AO51" s="22"/>
      <c r="AP51" s="22"/>
      <c r="AQ51" s="22"/>
      <c r="AR51" s="22"/>
      <c r="AS51" s="22"/>
      <c r="AT51" s="23"/>
      <c r="AU51" s="24"/>
      <c r="AV51" s="22"/>
      <c r="AW51" s="25"/>
    </row>
    <row r="52" spans="1:49" x14ac:dyDescent="0.35">
      <c r="A52" t="s">
        <v>36</v>
      </c>
      <c r="G52" s="4" t="s">
        <v>137</v>
      </c>
      <c r="H52">
        <v>10</v>
      </c>
      <c r="I52">
        <f>H52*72</f>
        <v>720</v>
      </c>
      <c r="J52">
        <v>9.375</v>
      </c>
      <c r="K52">
        <f t="shared" si="10"/>
        <v>9.375</v>
      </c>
      <c r="L52" t="s">
        <v>136</v>
      </c>
      <c r="AE52" t="s">
        <v>322</v>
      </c>
      <c r="AF52">
        <v>10.0625</v>
      </c>
      <c r="AG52">
        <f>(AF52*72)</f>
        <v>724.5</v>
      </c>
      <c r="AH52">
        <f t="shared" si="11"/>
        <v>9.43359375</v>
      </c>
      <c r="AI52">
        <f t="shared" si="5"/>
        <v>9.43359375</v>
      </c>
      <c r="AJ52" t="s">
        <v>112</v>
      </c>
      <c r="AM52" s="5"/>
      <c r="AN52" s="5">
        <v>1487</v>
      </c>
      <c r="AO52" s="5">
        <v>1488</v>
      </c>
      <c r="AP52" s="5">
        <v>1489</v>
      </c>
      <c r="AQ52" s="5">
        <v>1490</v>
      </c>
      <c r="AR52" s="5">
        <v>1491</v>
      </c>
      <c r="AS52" s="5">
        <v>1492</v>
      </c>
      <c r="AT52" s="5">
        <v>1493</v>
      </c>
      <c r="AU52" s="6" t="s">
        <v>2</v>
      </c>
      <c r="AW52" s="25"/>
    </row>
    <row r="53" spans="1:49" x14ac:dyDescent="0.35">
      <c r="A53" t="s">
        <v>36</v>
      </c>
      <c r="G53" s="4" t="s">
        <v>138</v>
      </c>
      <c r="H53">
        <v>10.0138888888888</v>
      </c>
      <c r="I53">
        <f>H53*72.25</f>
        <v>723.50347222221581</v>
      </c>
      <c r="J53">
        <v>9.3880208333332504</v>
      </c>
      <c r="K53">
        <f t="shared" si="10"/>
        <v>9.3880208333332504</v>
      </c>
      <c r="L53" t="s">
        <v>139</v>
      </c>
      <c r="AE53" t="s">
        <v>323</v>
      </c>
      <c r="AF53">
        <v>13.78125</v>
      </c>
      <c r="AG53">
        <f>(AF53*72)</f>
        <v>992.25</v>
      </c>
      <c r="AH53">
        <f t="shared" si="11"/>
        <v>12.919921875</v>
      </c>
      <c r="AI53">
        <f t="shared" si="5"/>
        <v>12.919921875</v>
      </c>
      <c r="AJ53" t="s">
        <v>324</v>
      </c>
      <c r="AM53" s="5" t="s">
        <v>3</v>
      </c>
      <c r="AN53" s="29">
        <v>291563</v>
      </c>
      <c r="AO53" s="28">
        <v>292693</v>
      </c>
      <c r="AP53" s="28">
        <v>404430</v>
      </c>
      <c r="AQ53" s="28">
        <v>356287</v>
      </c>
      <c r="AR53" s="28">
        <v>643356.5</v>
      </c>
      <c r="AS53" s="28">
        <v>776258</v>
      </c>
      <c r="AT53" s="28">
        <v>684592</v>
      </c>
      <c r="AU53" s="28">
        <f>SUM(AN53:AT53)</f>
        <v>3449179.5</v>
      </c>
      <c r="AW53" s="25"/>
    </row>
    <row r="54" spans="1:49" x14ac:dyDescent="0.35">
      <c r="AE54" t="s">
        <v>281</v>
      </c>
      <c r="AF54">
        <v>16.375</v>
      </c>
      <c r="AG54">
        <f>(AF54*72)</f>
        <v>1179</v>
      </c>
      <c r="AH54">
        <f t="shared" si="11"/>
        <v>15.3515625</v>
      </c>
      <c r="AI54">
        <f t="shared" si="5"/>
        <v>15.3515625</v>
      </c>
      <c r="AJ54" t="s">
        <v>325</v>
      </c>
      <c r="AM54" s="5" t="s">
        <v>0</v>
      </c>
      <c r="AN54" s="29">
        <v>1080.75</v>
      </c>
      <c r="AO54" s="28">
        <v>1068.875</v>
      </c>
      <c r="AP54" s="28">
        <v>1453.125</v>
      </c>
      <c r="AQ54" s="28">
        <v>1288.25</v>
      </c>
      <c r="AR54" s="28">
        <v>2335.6875</v>
      </c>
      <c r="AS54" s="28">
        <v>2844.625</v>
      </c>
      <c r="AT54" s="28">
        <v>2464</v>
      </c>
      <c r="AU54" s="28">
        <f>SUM(AN54:AT54)</f>
        <v>12535.3125</v>
      </c>
      <c r="AW54" s="25"/>
    </row>
    <row r="55" spans="1:49" x14ac:dyDescent="0.35">
      <c r="AE55" t="s">
        <v>326</v>
      </c>
      <c r="AF55">
        <v>18.25</v>
      </c>
      <c r="AG55">
        <f>(AF55*72)+2</f>
        <v>1316</v>
      </c>
      <c r="AH55">
        <f t="shared" si="11"/>
        <v>17.109375</v>
      </c>
      <c r="AI55">
        <f t="shared" si="5"/>
        <v>17.109375</v>
      </c>
      <c r="AJ55" t="s">
        <v>327</v>
      </c>
      <c r="AM55" s="5" t="s">
        <v>40</v>
      </c>
      <c r="AN55" s="29">
        <v>37.54687491111109</v>
      </c>
      <c r="AO55" s="28">
        <v>37.113715277777764</v>
      </c>
      <c r="AP55" s="28">
        <v>50.588785807291686</v>
      </c>
      <c r="AQ55" s="28">
        <v>45.318359374999972</v>
      </c>
      <c r="AR55" s="28">
        <v>84.128038194444386</v>
      </c>
      <c r="AS55" s="28">
        <v>104.61914062499996</v>
      </c>
      <c r="AT55" s="28">
        <v>85.555555555555515</v>
      </c>
      <c r="AU55" s="28">
        <f>SUM(AN55:AT55)</f>
        <v>444.87046974618033</v>
      </c>
      <c r="AW55" s="25"/>
    </row>
    <row r="56" spans="1:49" x14ac:dyDescent="0.35">
      <c r="AM56" s="5" t="s">
        <v>1</v>
      </c>
      <c r="AN56" s="6" t="s">
        <v>342</v>
      </c>
      <c r="AO56" s="6" t="s">
        <v>343</v>
      </c>
      <c r="AP56" s="6" t="s">
        <v>329</v>
      </c>
      <c r="AQ56" s="6" t="s">
        <v>330</v>
      </c>
      <c r="AR56" s="6" t="s">
        <v>332</v>
      </c>
      <c r="AS56" s="6" t="s">
        <v>334</v>
      </c>
      <c r="AT56" s="6" t="s">
        <v>336</v>
      </c>
      <c r="AU56" s="6" t="s">
        <v>344</v>
      </c>
      <c r="AW56" s="25"/>
    </row>
    <row r="57" spans="1:49" x14ac:dyDescent="0.35">
      <c r="B57" t="s">
        <v>32</v>
      </c>
      <c r="C57">
        <f>SUM(C33:C53)</f>
        <v>35.5729166666666</v>
      </c>
      <c r="D57" s="26">
        <f>SUM(D33:D53)</f>
        <v>2564.8515624999955</v>
      </c>
      <c r="E57">
        <f t="shared" ref="E57" si="12">SUM(E33:E53)</f>
        <v>33.349609374999936</v>
      </c>
      <c r="F57" t="s">
        <v>140</v>
      </c>
      <c r="G57" s="26" t="s">
        <v>32</v>
      </c>
      <c r="H57">
        <f>SUM(H33:H53)</f>
        <v>224.18263888888879</v>
      </c>
      <c r="I57" s="26">
        <f>SUM(I33:I53)</f>
        <v>16155.747222222215</v>
      </c>
      <c r="K57">
        <f t="shared" ref="K57" si="13">SUM(K33:K53)</f>
        <v>209.95052083333326</v>
      </c>
      <c r="L57" t="s">
        <v>141</v>
      </c>
      <c r="N57">
        <f>SUM(N33:N47)</f>
        <v>180.70375000000001</v>
      </c>
      <c r="O57" s="26">
        <f>SUM(O33:O47)</f>
        <v>13020.935625</v>
      </c>
      <c r="P57">
        <f>SUM(P33:P47)</f>
        <v>169.32024739583335</v>
      </c>
      <c r="R57" t="s">
        <v>183</v>
      </c>
      <c r="T57">
        <f>SUM(T33:T48)</f>
        <v>123.42125</v>
      </c>
      <c r="U57" s="26">
        <f>SUM(U33:U48)</f>
        <v>8892.505000000001</v>
      </c>
      <c r="V57">
        <f>SUM(V33:V48)</f>
        <v>115.31598307291667</v>
      </c>
      <c r="W57">
        <f>SUM(W33:W48)</f>
        <v>115.70742187499999</v>
      </c>
      <c r="X57" t="s">
        <v>228</v>
      </c>
      <c r="Z57">
        <f>SUM(Z33:Z49)</f>
        <v>165.859375</v>
      </c>
      <c r="AA57" s="26">
        <f>SUM(AA33:AA49)</f>
        <v>11955.6390625</v>
      </c>
      <c r="AB57">
        <f>SUM(AB33:AB49)</f>
        <v>154.86246744791669</v>
      </c>
      <c r="AC57">
        <f>SUM(AC33:AC49)</f>
        <v>155.4931640625</v>
      </c>
      <c r="AD57" t="s">
        <v>272</v>
      </c>
      <c r="AF57">
        <f>SUM(AF33:AF55)</f>
        <v>296.65625</v>
      </c>
      <c r="AG57" s="26">
        <f t="shared" ref="AG57:AI57" si="14">SUM(AG33:AG55)</f>
        <v>21369.1484375</v>
      </c>
      <c r="AH57">
        <f t="shared" si="14"/>
        <v>277.51399739583337</v>
      </c>
      <c r="AI57">
        <f t="shared" si="14"/>
        <v>278.115234375</v>
      </c>
      <c r="AJ57" t="s">
        <v>328</v>
      </c>
      <c r="AM57" s="5"/>
      <c r="AN57" s="5"/>
      <c r="AO57" s="5"/>
      <c r="AP57" s="5"/>
      <c r="AQ57" s="5"/>
      <c r="AR57" s="5"/>
      <c r="AS57" s="5"/>
      <c r="AT57" s="5"/>
      <c r="AU57" s="5"/>
    </row>
    <row r="58" spans="1:49" x14ac:dyDescent="0.35">
      <c r="AM58" s="5"/>
      <c r="AN58" s="5">
        <v>1487</v>
      </c>
      <c r="AO58" s="5">
        <v>1488</v>
      </c>
      <c r="AP58" s="5">
        <v>1489</v>
      </c>
      <c r="AQ58" s="5">
        <v>1490</v>
      </c>
      <c r="AR58" s="5">
        <v>1491</v>
      </c>
      <c r="AS58" s="5">
        <v>1492</v>
      </c>
      <c r="AT58" s="5">
        <v>1493</v>
      </c>
      <c r="AU58" s="6" t="s">
        <v>2</v>
      </c>
    </row>
    <row r="59" spans="1:49" x14ac:dyDescent="0.35">
      <c r="AM59" s="5" t="s">
        <v>4</v>
      </c>
      <c r="AN59" s="5">
        <v>17802</v>
      </c>
      <c r="AO59" s="5">
        <v>45540</v>
      </c>
      <c r="AP59" s="5">
        <v>17072</v>
      </c>
      <c r="AQ59" s="5">
        <v>16826</v>
      </c>
      <c r="AR59" s="5">
        <v>60156</v>
      </c>
      <c r="AS59" s="5">
        <v>39008</v>
      </c>
      <c r="AT59" s="5">
        <v>74336</v>
      </c>
      <c r="AU59" s="5">
        <f>SUM(AN59:AT59)</f>
        <v>270740</v>
      </c>
    </row>
    <row r="60" spans="1:49" x14ac:dyDescent="0.35">
      <c r="AM60" s="5" t="s">
        <v>0</v>
      </c>
      <c r="AN60" s="5">
        <v>48.375</v>
      </c>
      <c r="AO60" s="5">
        <v>126.5</v>
      </c>
      <c r="AP60" s="5">
        <v>48.5</v>
      </c>
      <c r="AQ60" s="5">
        <v>44.75</v>
      </c>
      <c r="AR60" s="5">
        <v>162.25</v>
      </c>
      <c r="AS60" s="5">
        <v>106</v>
      </c>
      <c r="AT60" s="5">
        <v>202</v>
      </c>
      <c r="AU60" s="5">
        <f>SUM(AN60:AT60)</f>
        <v>738.375</v>
      </c>
    </row>
    <row r="61" spans="1:49" x14ac:dyDescent="0.35">
      <c r="AM61" s="5" t="s">
        <v>40</v>
      </c>
      <c r="AN61" s="30">
        <v>0.83984374999999956</v>
      </c>
      <c r="AO61" s="30">
        <v>2.1961805555555545</v>
      </c>
      <c r="AP61" s="30">
        <v>0.92621527777777668</v>
      </c>
      <c r="AQ61" s="30">
        <v>0.77690972222222177</v>
      </c>
      <c r="AR61" s="30">
        <v>2.9140624999999973</v>
      </c>
      <c r="AS61" s="30">
        <v>1.9965277777777759</v>
      </c>
      <c r="AT61" s="30">
        <v>3.5069444444444424</v>
      </c>
      <c r="AU61" s="30">
        <f>SUM(AN61:AT61)</f>
        <v>13.156684027777768</v>
      </c>
    </row>
    <row r="62" spans="1:49" x14ac:dyDescent="0.35">
      <c r="AM62" s="5" t="s">
        <v>1</v>
      </c>
      <c r="AN62" s="6" t="s">
        <v>345</v>
      </c>
      <c r="AO62" s="6" t="s">
        <v>346</v>
      </c>
      <c r="AP62" s="6" t="s">
        <v>339</v>
      </c>
      <c r="AQ62" s="6" t="s">
        <v>340</v>
      </c>
      <c r="AR62" s="6" t="s">
        <v>331</v>
      </c>
      <c r="AS62" s="6" t="s">
        <v>333</v>
      </c>
      <c r="AT62" s="6" t="s">
        <v>335</v>
      </c>
      <c r="AU62" s="6" t="s">
        <v>347</v>
      </c>
    </row>
    <row r="63" spans="1:49" x14ac:dyDescent="0.35">
      <c r="AM63" s="5"/>
      <c r="AN63" s="5"/>
      <c r="AO63" s="5"/>
      <c r="AP63" s="5"/>
      <c r="AQ63" s="5"/>
      <c r="AR63" s="5"/>
      <c r="AS63" s="5"/>
      <c r="AT63" s="5"/>
      <c r="AU63" s="5"/>
    </row>
    <row r="64" spans="1:49" x14ac:dyDescent="0.35">
      <c r="AM64" s="5"/>
      <c r="AN64" s="5"/>
      <c r="AO64" s="5"/>
      <c r="AP64" s="5"/>
      <c r="AQ64" s="5"/>
      <c r="AR64" s="5"/>
      <c r="AS64" s="5"/>
      <c r="AT64" s="5"/>
      <c r="AU64" s="5"/>
    </row>
    <row r="65" spans="39:51" x14ac:dyDescent="0.35">
      <c r="AM65" s="5"/>
      <c r="AN65" s="5"/>
      <c r="AO65" s="5"/>
      <c r="AP65" s="5"/>
      <c r="AQ65" s="5"/>
      <c r="AR65" s="5"/>
      <c r="AS65" s="5"/>
      <c r="AT65" s="5"/>
      <c r="AU65" s="5"/>
    </row>
    <row r="66" spans="39:51" x14ac:dyDescent="0.35">
      <c r="AM66" s="5"/>
      <c r="AN66" s="5">
        <v>1487</v>
      </c>
      <c r="AO66" s="5">
        <v>1488</v>
      </c>
      <c r="AP66" s="5">
        <v>1489</v>
      </c>
      <c r="AQ66" s="5">
        <v>1490</v>
      </c>
      <c r="AR66" s="5">
        <v>1491</v>
      </c>
      <c r="AS66" s="5">
        <v>1492</v>
      </c>
      <c r="AT66" s="5">
        <v>1493</v>
      </c>
      <c r="AU66" s="6" t="s">
        <v>2</v>
      </c>
      <c r="AW66" s="31"/>
      <c r="AX66" s="32"/>
      <c r="AY66" s="32"/>
    </row>
    <row r="67" spans="39:51" x14ac:dyDescent="0.35">
      <c r="AM67" s="5" t="s">
        <v>54</v>
      </c>
      <c r="AN67" s="28">
        <v>10964.25</v>
      </c>
      <c r="AO67" s="28">
        <v>16105.351562499996</v>
      </c>
      <c r="AP67" s="28">
        <v>16155.747222222215</v>
      </c>
      <c r="AQ67" s="28">
        <v>13020.935625</v>
      </c>
      <c r="AR67" s="28">
        <v>8892.505000000001</v>
      </c>
      <c r="AS67" s="28">
        <v>11955.6390625</v>
      </c>
      <c r="AT67" s="28">
        <v>21369.1484375</v>
      </c>
      <c r="AU67" s="28">
        <f>SUM(AN67:AT67)</f>
        <v>98463.576909722222</v>
      </c>
      <c r="AW67" s="33"/>
      <c r="AX67" s="33"/>
      <c r="AY67" s="34"/>
    </row>
    <row r="68" spans="39:51" x14ac:dyDescent="0.35">
      <c r="AM68" s="5" t="s">
        <v>0</v>
      </c>
      <c r="AN68" s="28">
        <v>152.28125</v>
      </c>
      <c r="AO68" s="28">
        <v>223.6354166666666</v>
      </c>
      <c r="AP68" s="28">
        <v>224.18263888888879</v>
      </c>
      <c r="AQ68" s="28">
        <v>180.70375000000001</v>
      </c>
      <c r="AR68" s="28">
        <v>123.42125</v>
      </c>
      <c r="AS68" s="28">
        <v>165.859375</v>
      </c>
      <c r="AT68" s="28">
        <v>296.65625</v>
      </c>
      <c r="AU68" s="28">
        <f>SUM(AN68:AT68)</f>
        <v>1366.7399305555555</v>
      </c>
      <c r="AW68" s="33"/>
      <c r="AX68" s="33"/>
      <c r="AY68" s="34"/>
    </row>
    <row r="69" spans="39:51" x14ac:dyDescent="0.35">
      <c r="AM69" s="5" t="s">
        <v>41</v>
      </c>
      <c r="AN69" s="28">
        <v>142.763671875</v>
      </c>
      <c r="AO69" s="28">
        <v>209.65820312499994</v>
      </c>
      <c r="AP69" s="28">
        <v>209.82649739583326</v>
      </c>
      <c r="AQ69" s="28">
        <v>169.32024739583335</v>
      </c>
      <c r="AR69" s="28">
        <v>115.31598307291667</v>
      </c>
      <c r="AS69" s="28">
        <v>154.86246744791669</v>
      </c>
      <c r="AT69" s="28">
        <v>277.51399739583337</v>
      </c>
      <c r="AU69" s="28">
        <f>SUM(AN69:AT69)</f>
        <v>1279.2610677083335</v>
      </c>
      <c r="AW69" s="33"/>
      <c r="AX69" s="33"/>
      <c r="AY69" s="34"/>
    </row>
    <row r="70" spans="39:51" x14ac:dyDescent="0.35">
      <c r="AM70" s="5" t="s">
        <v>1</v>
      </c>
      <c r="AN70" s="6" t="s">
        <v>42</v>
      </c>
      <c r="AO70" t="s">
        <v>349</v>
      </c>
      <c r="AP70" s="5" t="s">
        <v>141</v>
      </c>
      <c r="AQ70" s="5" t="s">
        <v>183</v>
      </c>
      <c r="AR70" s="5" t="s">
        <v>228</v>
      </c>
      <c r="AS70" s="5" t="s">
        <v>272</v>
      </c>
      <c r="AT70" s="5" t="s">
        <v>328</v>
      </c>
      <c r="AU70" t="s">
        <v>350</v>
      </c>
      <c r="AW70" s="33"/>
      <c r="AX70" s="33"/>
      <c r="AY70" s="33"/>
    </row>
    <row r="71" spans="39:51" x14ac:dyDescent="0.35">
      <c r="AM71" s="5" t="s">
        <v>5</v>
      </c>
      <c r="AN71" s="5">
        <v>53</v>
      </c>
      <c r="AO71" s="5">
        <v>53</v>
      </c>
      <c r="AP71" s="5">
        <v>53</v>
      </c>
      <c r="AQ71" s="5">
        <v>53</v>
      </c>
      <c r="AR71" s="5">
        <v>53</v>
      </c>
      <c r="AS71" s="5">
        <v>53</v>
      </c>
      <c r="AT71" s="5">
        <v>53</v>
      </c>
      <c r="AU71" s="5"/>
      <c r="AW71" s="34"/>
      <c r="AX71" s="34"/>
      <c r="AY71" s="34"/>
    </row>
    <row r="72" spans="39:51" x14ac:dyDescent="0.35">
      <c r="AW72" s="34"/>
      <c r="AX72" s="34"/>
      <c r="AY72" s="34"/>
    </row>
    <row r="73" spans="39:51" x14ac:dyDescent="0.35">
      <c r="AW73" s="34"/>
      <c r="AX73" s="34"/>
      <c r="AY73" s="34"/>
    </row>
    <row r="74" spans="39:51" x14ac:dyDescent="0.35">
      <c r="AW74" s="33"/>
      <c r="AX74" s="33"/>
      <c r="AY74" s="34"/>
    </row>
    <row r="75" spans="39:51" x14ac:dyDescent="0.35">
      <c r="AN75">
        <v>13540.5</v>
      </c>
      <c r="AO75">
        <v>2564.8515624999955</v>
      </c>
      <c r="AP75">
        <f>AN75+AO75</f>
        <v>16105.351562499996</v>
      </c>
      <c r="AS75" t="s">
        <v>341</v>
      </c>
      <c r="AW75" s="33"/>
      <c r="AX75" s="33"/>
      <c r="AY75" s="34"/>
    </row>
    <row r="76" spans="39:51" x14ac:dyDescent="0.35">
      <c r="AN76">
        <v>188.0625</v>
      </c>
      <c r="AO76">
        <v>35.5729166666666</v>
      </c>
      <c r="AP76">
        <f t="shared" ref="AP76:AP77" si="15">AN76+AO76</f>
        <v>223.6354166666666</v>
      </c>
      <c r="AS76" s="15" t="s">
        <v>42</v>
      </c>
      <c r="AW76" s="35"/>
      <c r="AX76" s="33"/>
      <c r="AY76" s="34"/>
    </row>
    <row r="77" spans="39:51" x14ac:dyDescent="0.35">
      <c r="AN77">
        <v>176.30859375</v>
      </c>
      <c r="AO77">
        <v>33.349609374999936</v>
      </c>
      <c r="AP77">
        <f t="shared" si="15"/>
        <v>209.65820312499994</v>
      </c>
      <c r="AS77" s="15" t="s">
        <v>348</v>
      </c>
      <c r="AW77" s="33"/>
      <c r="AX77" s="33"/>
      <c r="AY77" s="34"/>
    </row>
    <row r="78" spans="39:51" x14ac:dyDescent="0.35">
      <c r="AN78" s="15" t="s">
        <v>348</v>
      </c>
      <c r="AO78" t="s">
        <v>140</v>
      </c>
      <c r="AP78" t="s">
        <v>349</v>
      </c>
      <c r="AW78" s="33"/>
      <c r="AX78" s="33"/>
      <c r="AY78" s="34"/>
    </row>
    <row r="79" spans="39:51" x14ac:dyDescent="0.35">
      <c r="AW79" s="33"/>
      <c r="AX79" s="33"/>
      <c r="AY79" s="34"/>
    </row>
    <row r="80" spans="39:51" x14ac:dyDescent="0.35">
      <c r="AW80" s="34"/>
      <c r="AX80" s="34"/>
      <c r="AY80" s="34"/>
    </row>
    <row r="81" spans="39:51" x14ac:dyDescent="0.35">
      <c r="AM81" s="5"/>
      <c r="AN81" s="5">
        <v>1487</v>
      </c>
      <c r="AO81" s="5">
        <v>1488</v>
      </c>
      <c r="AP81" s="5">
        <v>1489</v>
      </c>
      <c r="AQ81" s="5">
        <v>1490</v>
      </c>
      <c r="AR81" s="5">
        <v>1491</v>
      </c>
      <c r="AS81" s="5">
        <v>1492</v>
      </c>
      <c r="AT81" s="5">
        <v>1493</v>
      </c>
      <c r="AU81" s="6" t="s">
        <v>2</v>
      </c>
      <c r="AW81" s="33"/>
      <c r="AX81" s="33"/>
      <c r="AY81" s="34"/>
    </row>
    <row r="82" spans="39:51" x14ac:dyDescent="0.35">
      <c r="AM82" s="5" t="s">
        <v>54</v>
      </c>
      <c r="AN82" s="28">
        <v>10964.25</v>
      </c>
      <c r="AO82" s="28">
        <v>16105.351562499996</v>
      </c>
      <c r="AP82" s="28">
        <v>16155.747222222215</v>
      </c>
      <c r="AQ82" s="28">
        <v>13020.935625</v>
      </c>
      <c r="AR82" s="28">
        <v>8892.505000000001</v>
      </c>
      <c r="AS82" s="28">
        <v>11955.6390625</v>
      </c>
      <c r="AT82" s="28">
        <v>21369.1484375</v>
      </c>
      <c r="AU82" s="28">
        <f>SUM(AN82:AT82)</f>
        <v>98463.576909722222</v>
      </c>
      <c r="AW82" s="33"/>
      <c r="AX82" s="33"/>
      <c r="AY82" s="34"/>
    </row>
    <row r="83" spans="39:51" x14ac:dyDescent="0.35">
      <c r="AM83" s="5" t="s">
        <v>3</v>
      </c>
      <c r="AN83" s="29">
        <v>291563</v>
      </c>
      <c r="AO83" s="28">
        <v>292693</v>
      </c>
      <c r="AP83" s="28">
        <v>404430</v>
      </c>
      <c r="AQ83" s="28">
        <v>356287</v>
      </c>
      <c r="AR83" s="28">
        <v>643356.5</v>
      </c>
      <c r="AS83" s="28">
        <v>776258</v>
      </c>
      <c r="AT83" s="28">
        <v>684592</v>
      </c>
      <c r="AU83" s="28">
        <f>SUM(AN83:AT83)</f>
        <v>3449179.5</v>
      </c>
      <c r="AW83" s="33"/>
      <c r="AX83" s="33"/>
      <c r="AY83" s="34"/>
    </row>
    <row r="84" spans="39:51" x14ac:dyDescent="0.35">
      <c r="AM84" s="5" t="s">
        <v>4</v>
      </c>
      <c r="AN84" s="5">
        <v>17802</v>
      </c>
      <c r="AO84" s="5">
        <v>45540</v>
      </c>
      <c r="AP84" s="5">
        <v>17072</v>
      </c>
      <c r="AQ84" s="5">
        <v>16826</v>
      </c>
      <c r="AR84" s="5">
        <v>60156</v>
      </c>
      <c r="AS84" s="5">
        <v>39008</v>
      </c>
      <c r="AT84" s="5">
        <v>74336</v>
      </c>
      <c r="AU84" s="5">
        <f>SUM(AN84:AT84)</f>
        <v>270740</v>
      </c>
      <c r="AW84" s="33"/>
      <c r="AX84" s="33"/>
      <c r="AY84" s="34"/>
    </row>
    <row r="85" spans="39:51" x14ac:dyDescent="0.35"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</row>
  </sheetData>
  <pageMargins left="0.7" right="0.7" top="0.75" bottom="0.75" header="0.3" footer="0.3"/>
  <pageSetup orientation="portrait" r:id="rId1"/>
  <legacyDrawing r:id="rId2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Osinalde irastorza, Gotzon</dc:creator>
  <cp:lastModifiedBy>Osinalde irastorza, Gotzon</cp:lastModifiedBy>
  <dcterms:created xsi:type="dcterms:W3CDTF">2024-01-21T17:12:30Z</dcterms:created>
  <dcterms:modified xsi:type="dcterms:W3CDTF">2024-08-24T04:50:28Z</dcterms:modified>
</cp:coreProperties>
</file>